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helmuthoffrichter/Downloads/"/>
    </mc:Choice>
  </mc:AlternateContent>
  <xr:revisionPtr revIDLastSave="0" documentId="13_ncr:1_{D626EBD9-5476-AC4B-83BF-6618565588BE}" xr6:coauthVersionLast="36" xr6:coauthVersionMax="36" xr10:uidLastSave="{00000000-0000-0000-0000-000000000000}"/>
  <bookViews>
    <workbookView xWindow="0" yWindow="500" windowWidth="38080" windowHeight="20780" xr2:uid="{A9F4FF03-FE4A-7140-BA09-BAB2D53DDDE5}"/>
  </bookViews>
  <sheets>
    <sheet name="Sun Almanac" sheetId="2" r:id="rId1"/>
    <sheet name="Druckseite" sheetId="5" r:id="rId2"/>
  </sheets>
  <definedNames>
    <definedName name="_xlnm.Print_Area" localSheetId="1">Druckseite!$B$3:$H$35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2" l="1"/>
  <c r="J38" i="2"/>
  <c r="E9" i="2"/>
  <c r="C46" i="2" l="1"/>
  <c r="C9" i="2"/>
  <c r="D5" i="5"/>
  <c r="E5" i="5"/>
  <c r="F5" i="5"/>
  <c r="G5" i="5"/>
  <c r="C6" i="5"/>
  <c r="H9" i="2" l="1"/>
  <c r="H3" i="5" s="1"/>
  <c r="C3" i="5"/>
  <c r="E3" i="5"/>
  <c r="E46" i="2" l="1"/>
  <c r="D46" i="2"/>
  <c r="F46" i="2"/>
  <c r="G46" i="2"/>
  <c r="B47" i="2"/>
  <c r="C47" i="2" s="1"/>
  <c r="C13" i="2"/>
  <c r="C14" i="2" l="1"/>
  <c r="C7" i="5"/>
  <c r="B48" i="2"/>
  <c r="F47" i="2"/>
  <c r="L46" i="2"/>
  <c r="J46" i="2"/>
  <c r="K46" i="2"/>
  <c r="C15" i="2" l="1"/>
  <c r="C8" i="5"/>
  <c r="B49" i="2"/>
  <c r="C48" i="2"/>
  <c r="F48" i="2" s="1"/>
  <c r="E47" i="2"/>
  <c r="D47" i="2"/>
  <c r="G47" i="2"/>
  <c r="N46" i="2"/>
  <c r="C16" i="2" l="1"/>
  <c r="C9" i="5"/>
  <c r="G48" i="2"/>
  <c r="L48" i="2" s="1"/>
  <c r="D48" i="2"/>
  <c r="E48" i="2"/>
  <c r="K48" i="2" s="1"/>
  <c r="B50" i="2"/>
  <c r="C49" i="2"/>
  <c r="K47" i="2"/>
  <c r="M46" i="2"/>
  <c r="L47" i="2"/>
  <c r="J47" i="2"/>
  <c r="J48" i="2" l="1"/>
  <c r="N48" i="2" s="1"/>
  <c r="C18" i="2"/>
  <c r="C10" i="5"/>
  <c r="F49" i="2"/>
  <c r="E49" i="2"/>
  <c r="K49" i="2" s="1"/>
  <c r="D49" i="2"/>
  <c r="G49" i="2"/>
  <c r="B51" i="2"/>
  <c r="C50" i="2"/>
  <c r="O46" i="2"/>
  <c r="P46" i="2" s="1"/>
  <c r="D12" i="2" s="1"/>
  <c r="R46" i="2"/>
  <c r="S46" i="2"/>
  <c r="N47" i="2"/>
  <c r="D6" i="5" l="1"/>
  <c r="C19" i="2"/>
  <c r="C12" i="5"/>
  <c r="J49" i="2"/>
  <c r="N49" i="2" s="1"/>
  <c r="M49" i="2" s="1"/>
  <c r="L49" i="2"/>
  <c r="F50" i="2"/>
  <c r="E50" i="2"/>
  <c r="K50" i="2" s="1"/>
  <c r="G50" i="2"/>
  <c r="D50" i="2"/>
  <c r="B52" i="2"/>
  <c r="C51" i="2"/>
  <c r="M47" i="2"/>
  <c r="M48" i="2"/>
  <c r="F12" i="2"/>
  <c r="H12" i="2"/>
  <c r="H6" i="5" s="1"/>
  <c r="E12" i="2"/>
  <c r="E6" i="5" s="1"/>
  <c r="C20" i="2" l="1"/>
  <c r="C13" i="5"/>
  <c r="G12" i="2"/>
  <c r="G6" i="5" s="1"/>
  <c r="F6" i="5"/>
  <c r="F51" i="2"/>
  <c r="E51" i="2"/>
  <c r="K51" i="2" s="1"/>
  <c r="G51" i="2"/>
  <c r="D51" i="2"/>
  <c r="B53" i="2"/>
  <c r="C52" i="2"/>
  <c r="L50" i="2"/>
  <c r="J50" i="2"/>
  <c r="N50" i="2" s="1"/>
  <c r="M50" i="2" s="1"/>
  <c r="O49" i="2"/>
  <c r="P49" i="2" s="1"/>
  <c r="D15" i="2" s="1"/>
  <c r="R49" i="2"/>
  <c r="S49" i="2"/>
  <c r="O48" i="2"/>
  <c r="P48" i="2" s="1"/>
  <c r="D14" i="2" s="1"/>
  <c r="R48" i="2"/>
  <c r="S48" i="2"/>
  <c r="O47" i="2"/>
  <c r="P47" i="2" s="1"/>
  <c r="D13" i="2" s="1"/>
  <c r="R47" i="2"/>
  <c r="S47" i="2"/>
  <c r="C21" i="2" l="1"/>
  <c r="C14" i="5"/>
  <c r="E15" i="2"/>
  <c r="E9" i="5" s="1"/>
  <c r="D9" i="5"/>
  <c r="E13" i="2"/>
  <c r="E7" i="5" s="1"/>
  <c r="D7" i="5"/>
  <c r="E14" i="2"/>
  <c r="E8" i="5" s="1"/>
  <c r="D8" i="5"/>
  <c r="R50" i="2"/>
  <c r="S50" i="2"/>
  <c r="H16" i="2" s="1"/>
  <c r="H10" i="5" s="1"/>
  <c r="O50" i="2"/>
  <c r="P50" i="2" s="1"/>
  <c r="D16" i="2" s="1"/>
  <c r="D10" i="5" s="1"/>
  <c r="B54" i="2"/>
  <c r="C53" i="2"/>
  <c r="L51" i="2"/>
  <c r="J51" i="2"/>
  <c r="N51" i="2" s="1"/>
  <c r="M51" i="2" s="1"/>
  <c r="S51" i="2" s="1"/>
  <c r="F52" i="2"/>
  <c r="E52" i="2"/>
  <c r="K52" i="2" s="1"/>
  <c r="D52" i="2"/>
  <c r="G52" i="2"/>
  <c r="H14" i="2"/>
  <c r="H8" i="5" s="1"/>
  <c r="F14" i="2"/>
  <c r="T48" i="2"/>
  <c r="H13" i="2"/>
  <c r="H7" i="5" s="1"/>
  <c r="F13" i="2"/>
  <c r="T47" i="2"/>
  <c r="F15" i="2"/>
  <c r="H15" i="2"/>
  <c r="H9" i="5" s="1"/>
  <c r="T49" i="2"/>
  <c r="C22" i="2" l="1"/>
  <c r="C15" i="5"/>
  <c r="F18" i="2"/>
  <c r="G18" i="2" s="1"/>
  <c r="G14" i="2"/>
  <c r="G8" i="5" s="1"/>
  <c r="F8" i="5"/>
  <c r="T50" i="2"/>
  <c r="G13" i="2"/>
  <c r="G7" i="5" s="1"/>
  <c r="F7" i="5"/>
  <c r="F16" i="2"/>
  <c r="F10" i="5" s="1"/>
  <c r="G15" i="2"/>
  <c r="G9" i="5" s="1"/>
  <c r="F9" i="5"/>
  <c r="E16" i="2"/>
  <c r="E10" i="5" s="1"/>
  <c r="O51" i="2"/>
  <c r="P51" i="2" s="1"/>
  <c r="D18" i="2" s="1"/>
  <c r="B55" i="2"/>
  <c r="C54" i="2"/>
  <c r="F53" i="2"/>
  <c r="E53" i="2"/>
  <c r="K53" i="2" s="1"/>
  <c r="D53" i="2"/>
  <c r="G53" i="2"/>
  <c r="R51" i="2"/>
  <c r="L52" i="2"/>
  <c r="J52" i="2"/>
  <c r="N52" i="2" s="1"/>
  <c r="M52" i="2" s="1"/>
  <c r="H18" i="2"/>
  <c r="H12" i="5" s="1"/>
  <c r="T51" i="2"/>
  <c r="C24" i="2" l="1"/>
  <c r="C16" i="5"/>
  <c r="G16" i="2"/>
  <c r="G10" i="5" s="1"/>
  <c r="G12" i="5"/>
  <c r="F12" i="5"/>
  <c r="E18" i="2"/>
  <c r="E12" i="5" s="1"/>
  <c r="D12" i="5"/>
  <c r="R52" i="2"/>
  <c r="S52" i="2"/>
  <c r="O52" i="2"/>
  <c r="P52" i="2" s="1"/>
  <c r="D19" i="2" s="1"/>
  <c r="D13" i="5" s="1"/>
  <c r="F54" i="2"/>
  <c r="D54" i="2"/>
  <c r="E54" i="2"/>
  <c r="K54" i="2" s="1"/>
  <c r="G54" i="2"/>
  <c r="L53" i="2"/>
  <c r="J53" i="2"/>
  <c r="N53" i="2" s="1"/>
  <c r="M53" i="2" s="1"/>
  <c r="B56" i="2"/>
  <c r="C55" i="2"/>
  <c r="C25" i="2" l="1"/>
  <c r="C18" i="5"/>
  <c r="T52" i="2"/>
  <c r="F19" i="2"/>
  <c r="G19" i="2" s="1"/>
  <c r="H19" i="2"/>
  <c r="H13" i="5" s="1"/>
  <c r="E19" i="2"/>
  <c r="E13" i="5" s="1"/>
  <c r="S53" i="2"/>
  <c r="O53" i="2"/>
  <c r="P53" i="2" s="1"/>
  <c r="D20" i="2" s="1"/>
  <c r="R53" i="2"/>
  <c r="F55" i="2"/>
  <c r="E55" i="2"/>
  <c r="K55" i="2" s="1"/>
  <c r="G55" i="2"/>
  <c r="D55" i="2"/>
  <c r="B57" i="2"/>
  <c r="C56" i="2"/>
  <c r="L54" i="2"/>
  <c r="J54" i="2"/>
  <c r="N54" i="2" s="1"/>
  <c r="M54" i="2" s="1"/>
  <c r="C26" i="2" l="1"/>
  <c r="C19" i="5"/>
  <c r="T53" i="2"/>
  <c r="G13" i="5"/>
  <c r="F13" i="5"/>
  <c r="E20" i="2"/>
  <c r="E14" i="5" s="1"/>
  <c r="D14" i="5"/>
  <c r="H20" i="2"/>
  <c r="H14" i="5" s="1"/>
  <c r="F20" i="2"/>
  <c r="G20" i="2" s="1"/>
  <c r="O54" i="2"/>
  <c r="P54" i="2" s="1"/>
  <c r="D21" i="2" s="1"/>
  <c r="D15" i="5" s="1"/>
  <c r="R54" i="2"/>
  <c r="S54" i="2"/>
  <c r="L55" i="2"/>
  <c r="J55" i="2"/>
  <c r="N55" i="2" s="1"/>
  <c r="M55" i="2" s="1"/>
  <c r="B58" i="2"/>
  <c r="C57" i="2"/>
  <c r="F56" i="2"/>
  <c r="G56" i="2"/>
  <c r="E56" i="2"/>
  <c r="K56" i="2" s="1"/>
  <c r="D56" i="2"/>
  <c r="C27" i="2" l="1"/>
  <c r="C20" i="5"/>
  <c r="H21" i="2"/>
  <c r="H15" i="5" s="1"/>
  <c r="G14" i="5"/>
  <c r="F14" i="5"/>
  <c r="E21" i="2"/>
  <c r="E15" i="5" s="1"/>
  <c r="F21" i="2"/>
  <c r="G21" i="2" s="1"/>
  <c r="T54" i="2"/>
  <c r="R55" i="2"/>
  <c r="S55" i="2"/>
  <c r="H22" i="2" s="1"/>
  <c r="H16" i="5" s="1"/>
  <c r="O55" i="2"/>
  <c r="P55" i="2" s="1"/>
  <c r="D22" i="2" s="1"/>
  <c r="C58" i="2"/>
  <c r="B59" i="2"/>
  <c r="F57" i="2"/>
  <c r="D57" i="2"/>
  <c r="E57" i="2"/>
  <c r="K57" i="2" s="1"/>
  <c r="G57" i="2"/>
  <c r="L56" i="2"/>
  <c r="J56" i="2"/>
  <c r="N56" i="2" s="1"/>
  <c r="M56" i="2" s="1"/>
  <c r="C28" i="2" l="1"/>
  <c r="C21" i="5"/>
  <c r="E22" i="2"/>
  <c r="E16" i="5" s="1"/>
  <c r="D16" i="5"/>
  <c r="G15" i="5"/>
  <c r="F15" i="5"/>
  <c r="T55" i="2"/>
  <c r="F22" i="2"/>
  <c r="S56" i="2"/>
  <c r="T56" i="2" s="1"/>
  <c r="R56" i="2"/>
  <c r="O56" i="2"/>
  <c r="P56" i="2" s="1"/>
  <c r="D24" i="2" s="1"/>
  <c r="B60" i="2"/>
  <c r="C59" i="2"/>
  <c r="F58" i="2"/>
  <c r="D58" i="2"/>
  <c r="E58" i="2"/>
  <c r="K58" i="2" s="1"/>
  <c r="G58" i="2"/>
  <c r="L57" i="2"/>
  <c r="J57" i="2"/>
  <c r="N57" i="2" s="1"/>
  <c r="M57" i="2" s="1"/>
  <c r="C30" i="2" l="1"/>
  <c r="C22" i="5"/>
  <c r="E24" i="2"/>
  <c r="E18" i="5" s="1"/>
  <c r="D18" i="5"/>
  <c r="G22" i="2"/>
  <c r="G16" i="5" s="1"/>
  <c r="F16" i="5"/>
  <c r="F24" i="2"/>
  <c r="H24" i="2"/>
  <c r="H18" i="5" s="1"/>
  <c r="R57" i="2"/>
  <c r="S57" i="2"/>
  <c r="T57" i="2" s="1"/>
  <c r="O57" i="2"/>
  <c r="P57" i="2" s="1"/>
  <c r="D25" i="2" s="1"/>
  <c r="L58" i="2"/>
  <c r="J58" i="2"/>
  <c r="N58" i="2" s="1"/>
  <c r="M58" i="2" s="1"/>
  <c r="G59" i="2"/>
  <c r="F59" i="2"/>
  <c r="E59" i="2"/>
  <c r="K59" i="2" s="1"/>
  <c r="D59" i="2"/>
  <c r="B61" i="2"/>
  <c r="C60" i="2"/>
  <c r="D19" i="5" l="1"/>
  <c r="C31" i="2"/>
  <c r="C24" i="5"/>
  <c r="G24" i="2"/>
  <c r="G18" i="5" s="1"/>
  <c r="F18" i="5"/>
  <c r="E25" i="2"/>
  <c r="E19" i="5" s="1"/>
  <c r="F25" i="2"/>
  <c r="H25" i="2"/>
  <c r="H19" i="5" s="1"/>
  <c r="S58" i="2"/>
  <c r="T58" i="2" s="1"/>
  <c r="O58" i="2"/>
  <c r="P58" i="2" s="1"/>
  <c r="D26" i="2" s="1"/>
  <c r="R58" i="2"/>
  <c r="D60" i="2"/>
  <c r="G60" i="2"/>
  <c r="F60" i="2"/>
  <c r="E60" i="2"/>
  <c r="K60" i="2" s="1"/>
  <c r="L59" i="2"/>
  <c r="J59" i="2"/>
  <c r="N59" i="2" s="1"/>
  <c r="M59" i="2" s="1"/>
  <c r="B62" i="2"/>
  <c r="C61" i="2"/>
  <c r="D20" i="5" l="1"/>
  <c r="C32" i="2"/>
  <c r="C25" i="5"/>
  <c r="G25" i="2"/>
  <c r="F19" i="5"/>
  <c r="N71" i="2"/>
  <c r="M71" i="2"/>
  <c r="F26" i="2"/>
  <c r="H26" i="2"/>
  <c r="H20" i="5" s="1"/>
  <c r="S59" i="2"/>
  <c r="R59" i="2"/>
  <c r="O59" i="2"/>
  <c r="P59" i="2" s="1"/>
  <c r="D27" i="2" s="1"/>
  <c r="D21" i="5" s="1"/>
  <c r="B63" i="2"/>
  <c r="C62" i="2"/>
  <c r="L60" i="2"/>
  <c r="J60" i="2"/>
  <c r="N60" i="2" s="1"/>
  <c r="M60" i="2" s="1"/>
  <c r="R60" i="2" s="1"/>
  <c r="F61" i="2"/>
  <c r="E61" i="2"/>
  <c r="K61" i="2" s="1"/>
  <c r="D61" i="2"/>
  <c r="G61" i="2"/>
  <c r="E26" i="2"/>
  <c r="E20" i="5" s="1"/>
  <c r="C33" i="2" l="1"/>
  <c r="C26" i="5"/>
  <c r="O71" i="2"/>
  <c r="P71" i="2" s="1"/>
  <c r="G26" i="2"/>
  <c r="G20" i="5" s="1"/>
  <c r="F20" i="5"/>
  <c r="G19" i="5"/>
  <c r="O60" i="2"/>
  <c r="P60" i="2" s="1"/>
  <c r="D28" i="2" s="1"/>
  <c r="D22" i="5" s="1"/>
  <c r="F27" i="2"/>
  <c r="H27" i="2"/>
  <c r="H21" i="5" s="1"/>
  <c r="T59" i="2"/>
  <c r="L61" i="2"/>
  <c r="J61" i="2"/>
  <c r="N61" i="2" s="1"/>
  <c r="M61" i="2" s="1"/>
  <c r="F62" i="2"/>
  <c r="E62" i="2"/>
  <c r="K62" i="2" s="1"/>
  <c r="G62" i="2"/>
  <c r="D62" i="2"/>
  <c r="S60" i="2"/>
  <c r="T60" i="2" s="1"/>
  <c r="B64" i="2"/>
  <c r="C63" i="2"/>
  <c r="E27" i="2"/>
  <c r="E21" i="5" s="1"/>
  <c r="E40" i="2" l="1"/>
  <c r="E34" i="5" s="1"/>
  <c r="C34" i="2"/>
  <c r="C27" i="5"/>
  <c r="G27" i="2"/>
  <c r="G21" i="5" s="1"/>
  <c r="F21" i="5"/>
  <c r="E28" i="2"/>
  <c r="E22" i="5" s="1"/>
  <c r="F28" i="2"/>
  <c r="S61" i="2"/>
  <c r="T61" i="2" s="1"/>
  <c r="O61" i="2"/>
  <c r="P61" i="2" s="1"/>
  <c r="D30" i="2" s="1"/>
  <c r="D24" i="5" s="1"/>
  <c r="R61" i="2"/>
  <c r="B65" i="2"/>
  <c r="C64" i="2"/>
  <c r="F63" i="2"/>
  <c r="E63" i="2"/>
  <c r="K63" i="2" s="1"/>
  <c r="D63" i="2"/>
  <c r="G63" i="2"/>
  <c r="H28" i="2"/>
  <c r="H22" i="5" s="1"/>
  <c r="L62" i="2"/>
  <c r="J62" i="2"/>
  <c r="N62" i="2" s="1"/>
  <c r="M62" i="2" s="1"/>
  <c r="C36" i="2" l="1"/>
  <c r="C28" i="5"/>
  <c r="G28" i="2"/>
  <c r="G22" i="5" s="1"/>
  <c r="F22" i="5"/>
  <c r="F30" i="2"/>
  <c r="H30" i="2"/>
  <c r="H24" i="5" s="1"/>
  <c r="E30" i="2"/>
  <c r="E24" i="5" s="1"/>
  <c r="R62" i="2"/>
  <c r="O62" i="2"/>
  <c r="P62" i="2" s="1"/>
  <c r="D31" i="2" s="1"/>
  <c r="D25" i="5" s="1"/>
  <c r="S62" i="2"/>
  <c r="T62" i="2" s="1"/>
  <c r="L63" i="2"/>
  <c r="J63" i="2"/>
  <c r="N63" i="2" s="1"/>
  <c r="M63" i="2" s="1"/>
  <c r="R63" i="2" s="1"/>
  <c r="B66" i="2"/>
  <c r="C65" i="2"/>
  <c r="F64" i="2"/>
  <c r="D64" i="2"/>
  <c r="G64" i="2"/>
  <c r="E64" i="2"/>
  <c r="K64" i="2" s="1"/>
  <c r="C37" i="2" l="1"/>
  <c r="C30" i="5"/>
  <c r="G30" i="2"/>
  <c r="G24" i="5" s="1"/>
  <c r="F24" i="5"/>
  <c r="O63" i="2"/>
  <c r="P63" i="2" s="1"/>
  <c r="D32" i="2" s="1"/>
  <c r="D26" i="5" s="1"/>
  <c r="H31" i="2"/>
  <c r="H25" i="5" s="1"/>
  <c r="F31" i="2"/>
  <c r="L64" i="2"/>
  <c r="J64" i="2"/>
  <c r="N64" i="2" s="1"/>
  <c r="M64" i="2" s="1"/>
  <c r="D65" i="2"/>
  <c r="F65" i="2"/>
  <c r="G65" i="2"/>
  <c r="E65" i="2"/>
  <c r="K65" i="2" s="1"/>
  <c r="S63" i="2"/>
  <c r="H32" i="2" s="1"/>
  <c r="H26" i="5" s="1"/>
  <c r="B67" i="2"/>
  <c r="C66" i="2"/>
  <c r="E31" i="2"/>
  <c r="E25" i="5" s="1"/>
  <c r="C38" i="2" l="1"/>
  <c r="M33" i="2" s="1"/>
  <c r="C31" i="5"/>
  <c r="O64" i="2"/>
  <c r="P64" i="2" s="1"/>
  <c r="D33" i="2" s="1"/>
  <c r="D27" i="5" s="1"/>
  <c r="G31" i="2"/>
  <c r="G25" i="5" s="1"/>
  <c r="F25" i="5"/>
  <c r="E32" i="2"/>
  <c r="E26" i="5" s="1"/>
  <c r="F32" i="2"/>
  <c r="F66" i="2"/>
  <c r="G66" i="2"/>
  <c r="E66" i="2"/>
  <c r="K66" i="2" s="1"/>
  <c r="D66" i="2"/>
  <c r="B68" i="2"/>
  <c r="C67" i="2"/>
  <c r="T63" i="2"/>
  <c r="L65" i="2"/>
  <c r="J65" i="2"/>
  <c r="N65" i="2" s="1"/>
  <c r="M65" i="2" s="1"/>
  <c r="S64" i="2"/>
  <c r="T64" i="2" s="1"/>
  <c r="R64" i="2"/>
  <c r="C39" i="2" l="1"/>
  <c r="C32" i="5"/>
  <c r="E33" i="2"/>
  <c r="E27" i="5" s="1"/>
  <c r="G32" i="2"/>
  <c r="G26" i="5" s="1"/>
  <c r="F26" i="5"/>
  <c r="R65" i="2"/>
  <c r="S65" i="2"/>
  <c r="H34" i="2" s="1"/>
  <c r="H28" i="5" s="1"/>
  <c r="O65" i="2"/>
  <c r="P65" i="2" s="1"/>
  <c r="D34" i="2" s="1"/>
  <c r="F33" i="2"/>
  <c r="H33" i="2"/>
  <c r="H27" i="5" s="1"/>
  <c r="L66" i="2"/>
  <c r="J66" i="2"/>
  <c r="N66" i="2" s="1"/>
  <c r="M66" i="2" s="1"/>
  <c r="F67" i="2"/>
  <c r="G67" i="2"/>
  <c r="E67" i="2"/>
  <c r="K67" i="2" s="1"/>
  <c r="D67" i="2"/>
  <c r="B69" i="2"/>
  <c r="C68" i="2"/>
  <c r="C33" i="5" l="1"/>
  <c r="F34" i="2"/>
  <c r="G34" i="2" s="1"/>
  <c r="G28" i="5" s="1"/>
  <c r="G33" i="2"/>
  <c r="G27" i="5" s="1"/>
  <c r="F27" i="5"/>
  <c r="E34" i="2"/>
  <c r="E28" i="5" s="1"/>
  <c r="D28" i="5"/>
  <c r="T65" i="2"/>
  <c r="O66" i="2"/>
  <c r="P66" i="2" s="1"/>
  <c r="D36" i="2" s="1"/>
  <c r="R66" i="2"/>
  <c r="S66" i="2"/>
  <c r="T66" i="2" s="1"/>
  <c r="L67" i="2"/>
  <c r="J67" i="2"/>
  <c r="N67" i="2" s="1"/>
  <c r="M67" i="2" s="1"/>
  <c r="F68" i="2"/>
  <c r="E68" i="2"/>
  <c r="K68" i="2" s="1"/>
  <c r="G68" i="2"/>
  <c r="D68" i="2"/>
  <c r="C69" i="2"/>
  <c r="B70" i="2"/>
  <c r="C70" i="2" l="1"/>
  <c r="F70" i="2" s="1"/>
  <c r="F28" i="5"/>
  <c r="E36" i="2"/>
  <c r="E30" i="5" s="1"/>
  <c r="D30" i="5"/>
  <c r="F36" i="2"/>
  <c r="H36" i="2"/>
  <c r="H30" i="5" s="1"/>
  <c r="R67" i="2"/>
  <c r="S67" i="2"/>
  <c r="H37" i="2" s="1"/>
  <c r="H31" i="5" s="1"/>
  <c r="O67" i="2"/>
  <c r="E69" i="2"/>
  <c r="K69" i="2" s="1"/>
  <c r="D69" i="2"/>
  <c r="G69" i="2"/>
  <c r="F69" i="2"/>
  <c r="L68" i="2"/>
  <c r="J68" i="2"/>
  <c r="N68" i="2" s="1"/>
  <c r="M68" i="2" s="1"/>
  <c r="D70" i="2"/>
  <c r="G70" i="2" l="1"/>
  <c r="E70" i="2"/>
  <c r="G36" i="2"/>
  <c r="G30" i="5" s="1"/>
  <c r="F30" i="5"/>
  <c r="F37" i="2"/>
  <c r="T67" i="2"/>
  <c r="P67" i="2"/>
  <c r="D37" i="2" s="1"/>
  <c r="D31" i="5" s="1"/>
  <c r="R68" i="2"/>
  <c r="S68" i="2"/>
  <c r="T68" i="2" s="1"/>
  <c r="O68" i="2"/>
  <c r="P68" i="2" s="1"/>
  <c r="D38" i="2" s="1"/>
  <c r="D32" i="5" s="1"/>
  <c r="L70" i="2"/>
  <c r="J70" i="2"/>
  <c r="N70" i="2" s="1"/>
  <c r="M70" i="2" s="1"/>
  <c r="R70" i="2" s="1"/>
  <c r="K70" i="2"/>
  <c r="L69" i="2"/>
  <c r="J69" i="2"/>
  <c r="N69" i="2" s="1"/>
  <c r="M69" i="2" s="1"/>
  <c r="R69" i="2" s="1"/>
  <c r="G37" i="2" l="1"/>
  <c r="G31" i="5" s="1"/>
  <c r="F31" i="5"/>
  <c r="E37" i="2"/>
  <c r="E31" i="5" s="1"/>
  <c r="H38" i="2"/>
  <c r="O69" i="2"/>
  <c r="P69" i="2" s="1"/>
  <c r="D39" i="2" s="1"/>
  <c r="F38" i="2"/>
  <c r="S70" i="2"/>
  <c r="S69" i="2"/>
  <c r="H39" i="2" s="1"/>
  <c r="O70" i="2"/>
  <c r="P70" i="2" s="1"/>
  <c r="E38" i="2"/>
  <c r="E32" i="5" s="1"/>
  <c r="H33" i="5" l="1"/>
  <c r="K32" i="2"/>
  <c r="H32" i="5"/>
  <c r="K33" i="2"/>
  <c r="M32" i="2"/>
  <c r="M34" i="2" s="1"/>
  <c r="T69" i="2"/>
  <c r="T71" i="2" s="1"/>
  <c r="T70" i="2"/>
  <c r="E39" i="2"/>
  <c r="E33" i="5" s="1"/>
  <c r="D33" i="5"/>
  <c r="G38" i="2"/>
  <c r="G32" i="5" s="1"/>
  <c r="F32" i="5"/>
  <c r="F39" i="2"/>
  <c r="G40" i="2" l="1"/>
  <c r="G34" i="5" s="1"/>
  <c r="M36" i="2"/>
  <c r="K41" i="2" s="1"/>
  <c r="K34" i="2"/>
  <c r="G39" i="2"/>
  <c r="G33" i="5" s="1"/>
  <c r="F33" i="5"/>
  <c r="H6" i="2" l="1"/>
  <c r="L41" i="2"/>
  <c r="M41" i="2" s="1"/>
  <c r="G6" i="2" s="1"/>
  <c r="K35" i="2"/>
  <c r="K36" i="2" s="1"/>
  <c r="K40" i="2" s="1"/>
  <c r="L40" i="2" s="1"/>
  <c r="F6" i="2" l="1"/>
  <c r="F5" i="2"/>
  <c r="M40" i="2"/>
  <c r="G5" i="2" l="1"/>
</calcChain>
</file>

<file path=xl/sharedStrings.xml><?xml version="1.0" encoding="utf-8"?>
<sst xmlns="http://schemas.openxmlformats.org/spreadsheetml/2006/main" count="56" uniqueCount="37">
  <si>
    <t>e</t>
  </si>
  <si>
    <t>w</t>
  </si>
  <si>
    <t>C</t>
  </si>
  <si>
    <t>a</t>
  </si>
  <si>
    <t>T</t>
  </si>
  <si>
    <t>g°</t>
  </si>
  <si>
    <t>h</t>
  </si>
  <si>
    <t>UT1</t>
  </si>
  <si>
    <t>°</t>
  </si>
  <si>
    <t xml:space="preserve"> '</t>
  </si>
  <si>
    <t>Unt</t>
  </si>
  <si>
    <t>d</t>
  </si>
  <si>
    <t xml:space="preserve">  </t>
  </si>
  <si>
    <t>T = 12:00 - g:</t>
  </si>
  <si>
    <t xml:space="preserve">T </t>
  </si>
  <si>
    <r>
      <rPr>
        <sz val="14"/>
        <rFont val="Symbol"/>
        <charset val="2"/>
      </rPr>
      <t>e</t>
    </r>
    <r>
      <rPr>
        <sz val="9"/>
        <rFont val="Arial"/>
        <family val="2"/>
      </rPr>
      <t>rad</t>
    </r>
  </si>
  <si>
    <r>
      <rPr>
        <sz val="12"/>
        <color theme="1"/>
        <rFont val="Arial"/>
        <family val="2"/>
      </rPr>
      <t>M</t>
    </r>
    <r>
      <rPr>
        <sz val="9"/>
        <color theme="1"/>
        <rFont val="Calibri (Textkörper)_x0000_"/>
      </rPr>
      <t>rad</t>
    </r>
  </si>
  <si>
    <r>
      <rPr>
        <sz val="12"/>
        <color theme="1"/>
        <rFont val="Arial"/>
        <family val="2"/>
      </rPr>
      <t>L</t>
    </r>
    <r>
      <rPr>
        <sz val="11"/>
        <color theme="1"/>
        <rFont val="Calibri"/>
        <family val="2"/>
        <scheme val="minor"/>
      </rPr>
      <t>rad</t>
    </r>
  </si>
  <si>
    <t>Diff.</t>
  </si>
  <si>
    <r>
      <rPr>
        <sz val="12"/>
        <color theme="1"/>
        <rFont val="Symbol"/>
        <charset val="2"/>
      </rPr>
      <t>L</t>
    </r>
    <r>
      <rPr>
        <sz val="11"/>
        <color theme="1"/>
        <rFont val="Calibri"/>
        <family val="2"/>
        <scheme val="minor"/>
      </rPr>
      <t>rad</t>
    </r>
  </si>
  <si>
    <t>Sun Almanac</t>
  </si>
  <si>
    <t>Diff 1</t>
  </si>
  <si>
    <t>Diff 2</t>
  </si>
  <si>
    <t xml:space="preserve">     d</t>
  </si>
  <si>
    <r>
      <rPr>
        <sz val="10"/>
        <color theme="1"/>
        <rFont val="Symbol"/>
        <charset val="2"/>
      </rPr>
      <t>d</t>
    </r>
    <r>
      <rPr>
        <sz val="10"/>
        <color theme="1"/>
        <rFont val="Helvetica Neue"/>
        <family val="2"/>
      </rPr>
      <t xml:space="preserve"> + 1h</t>
    </r>
  </si>
  <si>
    <t>change</t>
  </si>
  <si>
    <r>
      <rPr>
        <sz val="12"/>
        <color rgb="FF0070C0"/>
        <rFont val="Symbol"/>
        <charset val="2"/>
      </rPr>
      <t>a</t>
    </r>
    <r>
      <rPr>
        <sz val="8"/>
        <color rgb="FF0070C0"/>
        <rFont val="Arial"/>
        <family val="2"/>
      </rPr>
      <t>m</t>
    </r>
  </si>
  <si>
    <t>GHA</t>
  </si>
  <si>
    <t>SUN</t>
  </si>
  <si>
    <t>Password:</t>
  </si>
  <si>
    <t>Unt = average:</t>
  </si>
  <si>
    <t>growth</t>
  </si>
  <si>
    <t>GHA + 1h</t>
  </si>
  <si>
    <t xml:space="preserve">day:  </t>
  </si>
  <si>
    <t xml:space="preserve">day: </t>
  </si>
  <si>
    <t xml:space="preserve">     GHA</t>
  </si>
  <si>
    <t xml:space="preserve">ref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</si>
</sst>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0.000"/>
    <numFmt numFmtId="165" formatCode="0.000\°"/>
    <numFmt numFmtId="166" formatCode="0.0"/>
    <numFmt numFmtId="167" formatCode="0\°"/>
    <numFmt numFmtId="168" formatCode="0\'"/>
    <numFmt numFmtId="169" formatCode="0.0\'"/>
    <numFmt numFmtId="170" formatCode="0.0000"/>
    <numFmt numFmtId="171" formatCode="00"/>
    <numFmt numFmtId="172" formatCode="h:mm;@"/>
    <numFmt numFmtId="173" formatCode="0\'\'"/>
    <numFmt numFmtId="174" formatCode="0.00000"/>
    <numFmt numFmtId="175" formatCode="[$-407]d/\ mmm/\ yy;@"/>
    <numFmt numFmtId="176" formatCode="[$-407]d/\ mmm/;@"/>
    <numFmt numFmtId="177" formatCode="00.0\'"/>
    <numFmt numFmtId="178" formatCode="00.00\'"/>
    <numFmt numFmtId="179" formatCode="000\°"/>
    <numFmt numFmtId="180" formatCode="dd/mm/yy;@"/>
    <numFmt numFmtId="181" formatCode="[$-407]d/\ mmm/\ yyyy;@"/>
    <numFmt numFmtId="182" formatCode="dd/mm/yyyy;@"/>
  </numFmts>
  <fonts count="41">
    <font>
      <sz val="12"/>
      <color theme="1"/>
      <name val="Calibri"/>
      <family val="2"/>
      <scheme val="minor"/>
    </font>
    <font>
      <sz val="12"/>
      <color theme="1"/>
      <name val="Symbol"/>
      <charset val="2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1"/>
      <name val="Symbol"/>
      <charset val="2"/>
    </font>
    <font>
      <sz val="12"/>
      <color rgb="FF0070C0"/>
      <name val="Calibri"/>
      <family val="2"/>
      <scheme val="minor"/>
    </font>
    <font>
      <sz val="11"/>
      <color theme="1"/>
      <name val="Calibri"/>
      <family val="2"/>
      <charset val="2"/>
      <scheme val="minor"/>
    </font>
    <font>
      <sz val="11"/>
      <name val="Calibri"/>
      <family val="2"/>
      <scheme val="minor"/>
    </font>
    <font>
      <sz val="9"/>
      <color theme="1"/>
      <name val="Calibri (Textkörper)_x0000_"/>
    </font>
    <font>
      <sz val="14"/>
      <name val="Symbol"/>
      <charset val="2"/>
    </font>
    <font>
      <sz val="12"/>
      <color theme="1"/>
      <name val="Calibri"/>
      <family val="2"/>
    </font>
    <font>
      <sz val="12"/>
      <color rgb="FF0070C0"/>
      <name val="Arial"/>
      <family val="2"/>
    </font>
    <font>
      <sz val="12"/>
      <color theme="2" tint="-0.249977111117893"/>
      <name val="Calibri"/>
      <family val="2"/>
      <scheme val="minor"/>
    </font>
    <font>
      <sz val="14"/>
      <color rgb="FF0070C0"/>
      <name val="Symbol"/>
      <charset val="2"/>
    </font>
    <font>
      <sz val="12"/>
      <name val="Calibri"/>
      <family val="2"/>
      <scheme val="minor"/>
    </font>
    <font>
      <sz val="11"/>
      <name val="Arial"/>
      <family val="2"/>
    </font>
    <font>
      <i/>
      <sz val="20"/>
      <color rgb="FFC00000"/>
      <name val="Delta Jaeger Bold"/>
    </font>
    <font>
      <sz val="12"/>
      <color theme="1"/>
      <name val="Helvetica Neue"/>
      <family val="2"/>
    </font>
    <font>
      <sz val="12"/>
      <name val="Helvetica Neue"/>
      <family val="2"/>
    </font>
    <font>
      <sz val="10"/>
      <color theme="1"/>
      <name val="Helvetica Neue"/>
      <family val="2"/>
    </font>
    <font>
      <sz val="14"/>
      <color theme="1"/>
      <name val="Helvetica Neue"/>
      <family val="2"/>
    </font>
    <font>
      <sz val="14"/>
      <color theme="1"/>
      <name val="Symbol"/>
      <charset val="2"/>
    </font>
    <font>
      <sz val="10"/>
      <color rgb="FF000000"/>
      <name val="Helvetica Neue"/>
      <family val="2"/>
    </font>
    <font>
      <sz val="10"/>
      <color theme="1"/>
      <name val="Symbol"/>
      <charset val="2"/>
    </font>
    <font>
      <sz val="10"/>
      <color theme="1"/>
      <name val="Helvetica Neue"/>
      <family val="1"/>
      <charset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ymbol"/>
      <charset val="2"/>
    </font>
    <font>
      <sz val="10"/>
      <name val="Helvetica Neue"/>
      <family val="2"/>
    </font>
    <font>
      <b/>
      <sz val="12"/>
      <color theme="1"/>
      <name val="Helvetica Neue"/>
      <family val="2"/>
    </font>
    <font>
      <b/>
      <sz val="12"/>
      <name val="Helvetica Neue"/>
      <family val="2"/>
    </font>
    <font>
      <sz val="12"/>
      <color rgb="FF0070C0"/>
      <name val="Symbol"/>
      <charset val="2"/>
    </font>
    <font>
      <sz val="12"/>
      <color rgb="FF0070C0"/>
      <name val="Arial"/>
      <family val="2"/>
      <charset val="2"/>
    </font>
    <font>
      <sz val="8"/>
      <color rgb="FF0070C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hair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thin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C00000"/>
      </left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hair">
        <color rgb="FFC00000"/>
      </top>
      <bottom/>
      <diagonal/>
    </border>
    <border>
      <left style="thin">
        <color rgb="FFC00000"/>
      </left>
      <right style="thin">
        <color rgb="FFC00000"/>
      </right>
      <top style="hair">
        <color rgb="FFC00000"/>
      </top>
      <bottom/>
      <diagonal/>
    </border>
    <border>
      <left style="thin">
        <color rgb="FFC00000"/>
      </left>
      <right style="medium">
        <color rgb="FFC00000"/>
      </right>
      <top style="hair">
        <color rgb="FFC00000"/>
      </top>
      <bottom/>
      <diagonal/>
    </border>
    <border>
      <left style="thin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rgb="FFC00000"/>
      </bottom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/>
      <bottom style="hair">
        <color rgb="FF0070C0"/>
      </bottom>
      <diagonal/>
    </border>
    <border>
      <left/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/>
      <top style="hair">
        <color rgb="FF0070C0"/>
      </top>
      <bottom style="medium">
        <color rgb="FF0070C0"/>
      </bottom>
      <diagonal/>
    </border>
    <border>
      <left/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8">
    <xf numFmtId="0" fontId="0" fillId="0" borderId="0" xfId="0"/>
    <xf numFmtId="1" fontId="11" fillId="0" borderId="0" xfId="0" applyNumberFormat="1" applyFont="1" applyFill="1" applyBorder="1" applyAlignment="1" applyProtection="1">
      <alignment horizontal="right" vertical="center"/>
      <protection hidden="1"/>
    </xf>
    <xf numFmtId="166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center"/>
      <protection hidden="1"/>
    </xf>
    <xf numFmtId="0" fontId="23" fillId="0" borderId="19" xfId="0" applyFont="1" applyBorder="1" applyAlignment="1" applyProtection="1">
      <alignment horizontal="center"/>
      <protection hidden="1"/>
    </xf>
    <xf numFmtId="176" fontId="23" fillId="0" borderId="22" xfId="0" applyNumberFormat="1" applyFont="1" applyBorder="1" applyAlignment="1" applyProtection="1">
      <alignment horizontal="center"/>
      <protection hidden="1"/>
    </xf>
    <xf numFmtId="1" fontId="23" fillId="0" borderId="23" xfId="0" applyNumberFormat="1" applyFont="1" applyBorder="1" applyAlignment="1" applyProtection="1">
      <alignment horizontal="center"/>
      <protection hidden="1"/>
    </xf>
    <xf numFmtId="1" fontId="23" fillId="0" borderId="22" xfId="0" applyNumberFormat="1" applyFont="1" applyBorder="1" applyAlignment="1" applyProtection="1">
      <alignment horizontal="center"/>
      <protection hidden="1"/>
    </xf>
    <xf numFmtId="0" fontId="24" fillId="0" borderId="0" xfId="0" applyFont="1" applyAlignment="1">
      <alignment vertical="center"/>
    </xf>
    <xf numFmtId="0" fontId="24" fillId="0" borderId="6" xfId="0" applyFont="1" applyBorder="1" applyAlignment="1">
      <alignment horizontal="center" vertical="center"/>
    </xf>
    <xf numFmtId="169" fontId="24" fillId="0" borderId="4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7" xfId="0" applyBorder="1"/>
    <xf numFmtId="167" fontId="24" fillId="0" borderId="0" xfId="0" applyNumberFormat="1" applyFont="1" applyBorder="1" applyAlignment="1">
      <alignment horizontal="right" vertical="center"/>
    </xf>
    <xf numFmtId="167" fontId="24" fillId="0" borderId="0" xfId="0" applyNumberFormat="1" applyFont="1" applyBorder="1" applyAlignment="1">
      <alignment vertical="center"/>
    </xf>
    <xf numFmtId="169" fontId="24" fillId="0" borderId="9" xfId="0" applyNumberFormat="1" applyFont="1" applyBorder="1" applyAlignment="1">
      <alignment vertical="center"/>
    </xf>
    <xf numFmtId="177" fontId="24" fillId="0" borderId="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top"/>
    </xf>
    <xf numFmtId="0" fontId="24" fillId="0" borderId="8" xfId="0" applyFont="1" applyBorder="1" applyAlignment="1">
      <alignment vertical="top"/>
    </xf>
    <xf numFmtId="0" fontId="23" fillId="0" borderId="22" xfId="0" applyFont="1" applyBorder="1" applyAlignment="1" applyProtection="1">
      <alignment horizontal="center"/>
      <protection hidden="1"/>
    </xf>
    <xf numFmtId="0" fontId="27" fillId="0" borderId="18" xfId="0" applyFont="1" applyBorder="1" applyAlignment="1" applyProtection="1">
      <alignment horizontal="center"/>
      <protection hidden="1"/>
    </xf>
    <xf numFmtId="0" fontId="23" fillId="0" borderId="20" xfId="0" applyFont="1" applyBorder="1" applyAlignment="1" applyProtection="1">
      <alignment horizontal="center"/>
      <protection hidden="1"/>
    </xf>
    <xf numFmtId="0" fontId="28" fillId="0" borderId="20" xfId="0" applyFont="1" applyBorder="1" applyAlignment="1" applyProtection="1">
      <alignment horizontal="center"/>
      <protection hidden="1"/>
    </xf>
    <xf numFmtId="176" fontId="23" fillId="0" borderId="20" xfId="0" applyNumberFormat="1" applyFont="1" applyBorder="1" applyAlignment="1" applyProtection="1">
      <alignment horizontal="center"/>
      <protection hidden="1"/>
    </xf>
    <xf numFmtId="166" fontId="32" fillId="0" borderId="26" xfId="0" applyNumberFormat="1" applyFont="1" applyFill="1" applyBorder="1" applyAlignment="1" applyProtection="1">
      <alignment horizontal="center"/>
      <protection hidden="1"/>
    </xf>
    <xf numFmtId="175" fontId="33" fillId="0" borderId="24" xfId="0" applyNumberFormat="1" applyFont="1" applyFill="1" applyBorder="1" applyAlignment="1" applyProtection="1">
      <alignment horizontal="center"/>
      <protection hidden="1"/>
    </xf>
    <xf numFmtId="165" fontId="33" fillId="0" borderId="25" xfId="0" applyNumberFormat="1" applyFont="1" applyFill="1" applyBorder="1" applyAlignment="1" applyProtection="1">
      <alignment horizontal="center"/>
      <protection hidden="1"/>
    </xf>
    <xf numFmtId="165" fontId="26" fillId="0" borderId="19" xfId="0" applyNumberFormat="1" applyFont="1" applyBorder="1" applyAlignment="1" applyProtection="1">
      <alignment horizontal="center"/>
      <protection hidden="1"/>
    </xf>
    <xf numFmtId="165" fontId="26" fillId="0" borderId="21" xfId="0" applyNumberFormat="1" applyFont="1" applyBorder="1" applyAlignment="1" applyProtection="1">
      <alignment horizontal="center"/>
      <protection hidden="1"/>
    </xf>
    <xf numFmtId="165" fontId="23" fillId="0" borderId="21" xfId="0" applyNumberFormat="1" applyFont="1" applyBorder="1" applyAlignment="1" applyProtection="1">
      <alignment horizontal="center"/>
      <protection hidden="1"/>
    </xf>
    <xf numFmtId="165" fontId="23" fillId="0" borderId="23" xfId="0" applyNumberFormat="1" applyFont="1" applyBorder="1" applyAlignment="1" applyProtection="1">
      <alignment horizontal="center"/>
      <protection hidden="1"/>
    </xf>
    <xf numFmtId="165" fontId="23" fillId="0" borderId="19" xfId="0" applyNumberFormat="1" applyFont="1" applyBorder="1" applyAlignment="1" applyProtection="1">
      <alignment horizontal="center"/>
      <protection hidden="1"/>
    </xf>
    <xf numFmtId="178" fontId="33" fillId="0" borderId="25" xfId="0" applyNumberFormat="1" applyFont="1" applyFill="1" applyBorder="1" applyAlignment="1" applyProtection="1">
      <alignment horizontal="center"/>
      <protection hidden="1"/>
    </xf>
    <xf numFmtId="178" fontId="33" fillId="0" borderId="27" xfId="0" applyNumberFormat="1" applyFont="1" applyFill="1" applyBorder="1" applyAlignment="1" applyProtection="1">
      <alignment horizontal="center"/>
      <protection hidden="1"/>
    </xf>
    <xf numFmtId="167" fontId="33" fillId="0" borderId="29" xfId="0" applyNumberFormat="1" applyFont="1" applyFill="1" applyBorder="1" applyAlignment="1" applyProtection="1">
      <alignment horizontal="center"/>
      <protection hidden="1"/>
    </xf>
    <xf numFmtId="167" fontId="33" fillId="0" borderId="30" xfId="0" applyNumberFormat="1" applyFont="1" applyFill="1" applyBorder="1" applyAlignment="1" applyProtection="1">
      <alignment horizontal="center"/>
      <protection hidden="1"/>
    </xf>
    <xf numFmtId="166" fontId="0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2" borderId="5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vertical="center"/>
    </xf>
    <xf numFmtId="180" fontId="24" fillId="2" borderId="10" xfId="0" applyNumberFormat="1" applyFont="1" applyFill="1" applyBorder="1" applyAlignment="1">
      <alignment horizontal="right" vertical="center"/>
    </xf>
    <xf numFmtId="0" fontId="24" fillId="2" borderId="11" xfId="0" applyFont="1" applyFill="1" applyBorder="1" applyAlignment="1">
      <alignment horizontal="left" vertical="center"/>
    </xf>
    <xf numFmtId="0" fontId="24" fillId="2" borderId="67" xfId="0" applyFont="1" applyFill="1" applyBorder="1" applyAlignment="1">
      <alignment horizontal="right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vertical="center"/>
    </xf>
    <xf numFmtId="180" fontId="24" fillId="2" borderId="1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169" fontId="24" fillId="0" borderId="2" xfId="0" applyNumberFormat="1" applyFont="1" applyBorder="1" applyAlignment="1">
      <alignment horizontal="center" vertical="top"/>
    </xf>
    <xf numFmtId="169" fontId="24" fillId="0" borderId="12" xfId="0" applyNumberFormat="1" applyFont="1" applyBorder="1" applyAlignment="1">
      <alignment horizontal="center" vertical="top"/>
    </xf>
    <xf numFmtId="0" fontId="24" fillId="0" borderId="2" xfId="0" applyFont="1" applyBorder="1" applyAlignment="1">
      <alignment horizontal="right" vertical="top"/>
    </xf>
    <xf numFmtId="0" fontId="24" fillId="0" borderId="12" xfId="0" applyFont="1" applyBorder="1" applyAlignment="1">
      <alignment horizontal="right" vertical="top"/>
    </xf>
    <xf numFmtId="172" fontId="24" fillId="0" borderId="2" xfId="0" applyNumberFormat="1" applyFont="1" applyBorder="1" applyAlignment="1">
      <alignment horizontal="center" vertical="top"/>
    </xf>
    <xf numFmtId="172" fontId="24" fillId="0" borderId="12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horizontal="right" vertical="top"/>
    </xf>
    <xf numFmtId="0" fontId="24" fillId="0" borderId="16" xfId="0" applyFont="1" applyBorder="1" applyAlignment="1">
      <alignment horizontal="right" vertical="top"/>
    </xf>
    <xf numFmtId="0" fontId="0" fillId="0" borderId="0" xfId="0" applyProtection="1">
      <protection hidden="1"/>
    </xf>
    <xf numFmtId="0" fontId="20" fillId="0" borderId="0" xfId="0" applyFont="1" applyAlignme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166" fontId="22" fillId="0" borderId="0" xfId="0" applyNumberFormat="1" applyFont="1" applyProtection="1">
      <protection hidden="1"/>
    </xf>
    <xf numFmtId="179" fontId="35" fillId="0" borderId="70" xfId="0" applyNumberFormat="1" applyFont="1" applyBorder="1" applyAlignment="1" applyProtection="1">
      <alignment horizontal="right"/>
      <protection hidden="1"/>
    </xf>
    <xf numFmtId="166" fontId="34" fillId="0" borderId="71" xfId="0" applyNumberFormat="1" applyFont="1" applyBorder="1" applyAlignment="1" applyProtection="1">
      <alignment horizontal="center"/>
      <protection hidden="1"/>
    </xf>
    <xf numFmtId="0" fontId="2" fillId="0" borderId="72" xfId="0" applyFont="1" applyBorder="1" applyProtection="1">
      <protection hidden="1"/>
    </xf>
    <xf numFmtId="0" fontId="22" fillId="0" borderId="0" xfId="0" applyFont="1" applyBorder="1" applyProtection="1">
      <protection hidden="1"/>
    </xf>
    <xf numFmtId="167" fontId="34" fillId="0" borderId="73" xfId="0" applyNumberFormat="1" applyFont="1" applyBorder="1" applyAlignment="1" applyProtection="1">
      <alignment horizontal="right"/>
      <protection hidden="1"/>
    </xf>
    <xf numFmtId="166" fontId="34" fillId="0" borderId="74" xfId="0" applyNumberFormat="1" applyFont="1" applyBorder="1" applyAlignment="1" applyProtection="1">
      <alignment horizontal="center"/>
      <protection hidden="1"/>
    </xf>
    <xf numFmtId="0" fontId="34" fillId="0" borderId="75" xfId="0" applyFont="1" applyBorder="1" applyProtection="1">
      <protection hidden="1"/>
    </xf>
    <xf numFmtId="0" fontId="0" fillId="0" borderId="12" xfId="0" applyBorder="1" applyProtection="1">
      <protection hidden="1"/>
    </xf>
    <xf numFmtId="16" fontId="0" fillId="0" borderId="12" xfId="0" applyNumberFormat="1" applyBorder="1" applyProtection="1">
      <protection hidden="1"/>
    </xf>
    <xf numFmtId="0" fontId="18" fillId="0" borderId="0" xfId="0" applyFont="1" applyProtection="1"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0" fillId="5" borderId="10" xfId="0" applyFill="1" applyBorder="1" applyProtection="1">
      <protection hidden="1"/>
    </xf>
    <xf numFmtId="182" fontId="21" fillId="5" borderId="10" xfId="0" applyNumberFormat="1" applyFont="1" applyFill="1" applyBorder="1" applyAlignment="1" applyProtection="1">
      <alignment horizontal="center"/>
      <protection hidden="1"/>
    </xf>
    <xf numFmtId="0" fontId="0" fillId="5" borderId="10" xfId="0" applyFill="1" applyBorder="1" applyAlignment="1" applyProtection="1">
      <alignment horizontal="right"/>
      <protection hidden="1"/>
    </xf>
    <xf numFmtId="0" fontId="0" fillId="5" borderId="11" xfId="0" applyFill="1" applyBorder="1" applyAlignment="1" applyProtection="1">
      <alignment horizontal="left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0" fontId="1" fillId="5" borderId="0" xfId="0" applyFont="1" applyFill="1" applyBorder="1" applyAlignment="1" applyProtection="1">
      <alignment horizontal="center"/>
      <protection hidden="1"/>
    </xf>
    <xf numFmtId="0" fontId="0" fillId="5" borderId="9" xfId="0" applyFill="1" applyBorder="1" applyAlignment="1" applyProtection="1">
      <protection hidden="1"/>
    </xf>
    <xf numFmtId="0" fontId="4" fillId="5" borderId="66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horizontal="right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right"/>
      <protection hidden="1"/>
    </xf>
    <xf numFmtId="171" fontId="4" fillId="3" borderId="68" xfId="0" applyNumberFormat="1" applyFont="1" applyFill="1" applyBorder="1" applyAlignment="1" applyProtection="1">
      <alignment horizontal="center"/>
      <protection hidden="1"/>
    </xf>
    <xf numFmtId="167" fontId="0" fillId="3" borderId="1" xfId="0" applyNumberFormat="1" applyFill="1" applyBorder="1" applyAlignment="1" applyProtection="1">
      <alignment horizontal="right"/>
      <protection hidden="1"/>
    </xf>
    <xf numFmtId="169" fontId="0" fillId="3" borderId="69" xfId="0" applyNumberFormat="1" applyFill="1" applyBorder="1" applyAlignment="1" applyProtection="1">
      <alignment horizontal="center"/>
      <protection hidden="1"/>
    </xf>
    <xf numFmtId="177" fontId="0" fillId="3" borderId="2" xfId="0" applyNumberFormat="1" applyFill="1" applyBorder="1" applyAlignment="1" applyProtection="1">
      <alignment horizontal="center"/>
      <protection hidden="1"/>
    </xf>
    <xf numFmtId="0" fontId="0" fillId="3" borderId="14" xfId="0" applyFill="1" applyBorder="1" applyProtection="1">
      <protection hidden="1"/>
    </xf>
    <xf numFmtId="171" fontId="4" fillId="3" borderId="13" xfId="0" applyNumberFormat="1" applyFont="1" applyFill="1" applyBorder="1" applyAlignment="1" applyProtection="1">
      <alignment horizontal="center"/>
      <protection hidden="1"/>
    </xf>
    <xf numFmtId="167" fontId="0" fillId="3" borderId="3" xfId="0" applyNumberFormat="1" applyFill="1" applyBorder="1" applyAlignment="1" applyProtection="1">
      <alignment horizontal="right"/>
      <protection hidden="1"/>
    </xf>
    <xf numFmtId="169" fontId="0" fillId="3" borderId="4" xfId="0" applyNumberFormat="1" applyFill="1" applyBorder="1" applyAlignment="1" applyProtection="1">
      <alignment horizontal="center"/>
      <protection hidden="1"/>
    </xf>
    <xf numFmtId="177" fontId="0" fillId="3" borderId="0" xfId="0" applyNumberFormat="1" applyFill="1" applyBorder="1" applyAlignment="1" applyProtection="1">
      <alignment horizontal="center"/>
      <protection hidden="1"/>
    </xf>
    <xf numFmtId="0" fontId="0" fillId="3" borderId="9" xfId="0" applyFill="1" applyBorder="1" applyProtection="1">
      <protection hidden="1"/>
    </xf>
    <xf numFmtId="171" fontId="0" fillId="3" borderId="13" xfId="0" applyNumberFormat="1" applyFill="1" applyBorder="1" applyProtection="1">
      <protection hidden="1"/>
    </xf>
    <xf numFmtId="169" fontId="0" fillId="3" borderId="4" xfId="0" applyNumberFormat="1" applyFill="1" applyBorder="1" applyProtection="1">
      <protection hidden="1"/>
    </xf>
    <xf numFmtId="167" fontId="0" fillId="3" borderId="0" xfId="0" applyNumberFormat="1" applyFill="1" applyProtection="1">
      <protection hidden="1"/>
    </xf>
    <xf numFmtId="177" fontId="0" fillId="3" borderId="0" xfId="0" applyNumberFormat="1" applyFill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164" fontId="19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 applyProtection="1">
      <alignment horizontal="right"/>
      <protection hidden="1"/>
    </xf>
    <xf numFmtId="164" fontId="19" fillId="0" borderId="0" xfId="0" applyNumberFormat="1" applyFont="1" applyAlignment="1" applyProtection="1">
      <alignment horizontal="right"/>
      <protection hidden="1"/>
    </xf>
    <xf numFmtId="0" fontId="29" fillId="0" borderId="0" xfId="0" applyFont="1" applyAlignmen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164" fontId="31" fillId="0" borderId="0" xfId="0" applyNumberFormat="1" applyFont="1" applyAlignment="1" applyProtection="1">
      <alignment horizontal="center"/>
      <protection hidden="1"/>
    </xf>
    <xf numFmtId="171" fontId="4" fillId="3" borderId="15" xfId="0" applyNumberFormat="1" applyFont="1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right" vertical="top"/>
      <protection hidden="1"/>
    </xf>
    <xf numFmtId="172" fontId="0" fillId="3" borderId="2" xfId="0" applyNumberFormat="1" applyFill="1" applyBorder="1" applyAlignment="1" applyProtection="1">
      <alignment horizontal="left" vertical="top"/>
      <protection hidden="1"/>
    </xf>
    <xf numFmtId="0" fontId="0" fillId="3" borderId="2" xfId="0" applyFill="1" applyBorder="1" applyAlignment="1" applyProtection="1">
      <alignment horizontal="right" vertical="top"/>
      <protection hidden="1"/>
    </xf>
    <xf numFmtId="169" fontId="0" fillId="3" borderId="2" xfId="0" applyNumberFormat="1" applyFill="1" applyBorder="1" applyAlignment="1" applyProtection="1">
      <alignment horizontal="center" vertical="top"/>
      <protection hidden="1"/>
    </xf>
    <xf numFmtId="0" fontId="0" fillId="3" borderId="14" xfId="0" applyFill="1" applyBorder="1" applyAlignment="1" applyProtection="1">
      <alignment horizontal="center" vertical="top"/>
      <protection hidden="1"/>
    </xf>
    <xf numFmtId="0" fontId="18" fillId="0" borderId="0" xfId="0" applyFont="1" applyBorder="1" applyProtection="1">
      <protection hidden="1"/>
    </xf>
    <xf numFmtId="171" fontId="4" fillId="3" borderId="7" xfId="0" applyNumberFormat="1" applyFont="1" applyFill="1" applyBorder="1" applyAlignment="1" applyProtection="1">
      <alignment horizontal="left" vertical="center"/>
      <protection hidden="1"/>
    </xf>
    <xf numFmtId="0" fontId="0" fillId="3" borderId="16" xfId="0" applyFill="1" applyBorder="1" applyAlignment="1" applyProtection="1">
      <alignment horizontal="right" vertical="top"/>
      <protection hidden="1"/>
    </xf>
    <xf numFmtId="0" fontId="0" fillId="3" borderId="12" xfId="0" applyFill="1" applyBorder="1" applyAlignment="1" applyProtection="1">
      <alignment horizontal="left" vertical="top"/>
      <protection hidden="1"/>
    </xf>
    <xf numFmtId="0" fontId="0" fillId="3" borderId="12" xfId="0" applyFill="1" applyBorder="1" applyAlignment="1" applyProtection="1">
      <alignment horizontal="right" vertical="top"/>
      <protection hidden="1"/>
    </xf>
    <xf numFmtId="169" fontId="0" fillId="3" borderId="12" xfId="0" applyNumberForma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horizontal="center" vertical="top"/>
      <protection hidden="1"/>
    </xf>
    <xf numFmtId="165" fontId="33" fillId="0" borderId="27" xfId="0" applyNumberFormat="1" applyFont="1" applyBorder="1" applyAlignment="1" applyProtection="1">
      <alignment horizontal="center"/>
      <protection hidden="1"/>
    </xf>
    <xf numFmtId="171" fontId="4" fillId="3" borderId="0" xfId="0" applyNumberFormat="1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right" vertical="top"/>
      <protection hidden="1"/>
    </xf>
    <xf numFmtId="0" fontId="0" fillId="3" borderId="0" xfId="0" applyFill="1" applyBorder="1" applyAlignment="1" applyProtection="1">
      <alignment horizontal="left" vertical="top"/>
      <protection hidden="1"/>
    </xf>
    <xf numFmtId="169" fontId="0" fillId="3" borderId="0" xfId="0" applyNumberFormat="1" applyFill="1" applyBorder="1" applyAlignment="1" applyProtection="1">
      <alignment horizontal="center" vertical="top"/>
      <protection hidden="1"/>
    </xf>
    <xf numFmtId="0" fontId="0" fillId="3" borderId="0" xfId="0" applyFill="1" applyBorder="1" applyAlignment="1" applyProtection="1">
      <alignment horizontal="center" vertical="top"/>
      <protection hidden="1"/>
    </xf>
    <xf numFmtId="170" fontId="19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Protection="1">
      <protection hidden="1"/>
    </xf>
    <xf numFmtId="2" fontId="18" fillId="0" borderId="0" xfId="0" applyNumberFormat="1" applyFont="1" applyProtection="1">
      <protection hidden="1"/>
    </xf>
    <xf numFmtId="0" fontId="39" fillId="0" borderId="56" xfId="0" applyFont="1" applyBorder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right"/>
      <protection hidden="1"/>
    </xf>
    <xf numFmtId="14" fontId="2" fillId="4" borderId="56" xfId="0" applyNumberFormat="1" applyFont="1" applyFill="1" applyBorder="1" applyAlignment="1" applyProtection="1">
      <alignment horizontal="center" vertical="center"/>
      <protection hidden="1"/>
    </xf>
    <xf numFmtId="14" fontId="2" fillId="0" borderId="56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25" fillId="0" borderId="57" xfId="0" applyFont="1" applyBorder="1" applyAlignment="1" applyProtection="1">
      <alignment horizontal="left"/>
      <protection hidden="1"/>
    </xf>
    <xf numFmtId="0" fontId="40" fillId="0" borderId="57" xfId="0" applyFont="1" applyBorder="1" applyAlignment="1" applyProtection="1">
      <alignment horizontal="left"/>
      <protection hidden="1"/>
    </xf>
    <xf numFmtId="0" fontId="5" fillId="0" borderId="40" xfId="0" applyFont="1" applyBorder="1" applyAlignment="1" applyProtection="1">
      <alignment horizontal="right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15" fillId="0" borderId="41" xfId="0" applyFont="1" applyBorder="1" applyAlignment="1" applyProtection="1">
      <alignment horizontal="center"/>
      <protection hidden="1"/>
    </xf>
    <xf numFmtId="0" fontId="17" fillId="0" borderId="41" xfId="0" applyFont="1" applyBorder="1" applyAlignment="1" applyProtection="1">
      <alignment horizontal="center"/>
      <protection hidden="1"/>
    </xf>
    <xf numFmtId="0" fontId="37" fillId="0" borderId="41" xfId="0" applyFont="1" applyBorder="1" applyAlignment="1" applyProtection="1">
      <alignment horizontal="center"/>
      <protection hidden="1"/>
    </xf>
    <xf numFmtId="0" fontId="0" fillId="0" borderId="58" xfId="0" applyBorder="1" applyProtection="1">
      <protection hidden="1"/>
    </xf>
    <xf numFmtId="0" fontId="0" fillId="0" borderId="59" xfId="0" applyBorder="1" applyProtection="1">
      <protection hidden="1"/>
    </xf>
    <xf numFmtId="0" fontId="14" fillId="0" borderId="41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0" fontId="10" fillId="0" borderId="41" xfId="0" applyFont="1" applyBorder="1" applyAlignment="1" applyProtection="1">
      <alignment horizontal="center"/>
      <protection hidden="1"/>
    </xf>
    <xf numFmtId="0" fontId="4" fillId="0" borderId="42" xfId="0" applyFont="1" applyBorder="1" applyAlignment="1" applyProtection="1">
      <alignment horizontal="center"/>
      <protection hidden="1"/>
    </xf>
    <xf numFmtId="164" fontId="1" fillId="0" borderId="46" xfId="0" applyNumberFormat="1" applyFont="1" applyBorder="1" applyAlignment="1" applyProtection="1">
      <alignment horizontal="center"/>
      <protection hidden="1"/>
    </xf>
    <xf numFmtId="0" fontId="1" fillId="0" borderId="47" xfId="0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6" fillId="0" borderId="37" xfId="0" applyFont="1" applyBorder="1" applyProtection="1">
      <protection hidden="1"/>
    </xf>
    <xf numFmtId="164" fontId="6" fillId="0" borderId="38" xfId="0" applyNumberFormat="1" applyFont="1" applyBorder="1" applyAlignment="1" applyProtection="1">
      <alignment horizontal="center"/>
      <protection hidden="1"/>
    </xf>
    <xf numFmtId="174" fontId="7" fillId="0" borderId="38" xfId="0" applyNumberFormat="1" applyFont="1" applyBorder="1" applyProtection="1">
      <protection hidden="1"/>
    </xf>
    <xf numFmtId="165" fontId="7" fillId="0" borderId="38" xfId="0" applyNumberFormat="1" applyFont="1" applyBorder="1" applyProtection="1">
      <protection hidden="1"/>
    </xf>
    <xf numFmtId="165" fontId="9" fillId="0" borderId="38" xfId="0" applyNumberFormat="1" applyFont="1" applyBorder="1" applyProtection="1">
      <protection hidden="1"/>
    </xf>
    <xf numFmtId="166" fontId="7" fillId="0" borderId="38" xfId="0" applyNumberFormat="1" applyFont="1" applyBorder="1" applyProtection="1">
      <protection hidden="1"/>
    </xf>
    <xf numFmtId="0" fontId="0" fillId="0" borderId="60" xfId="0" applyBorder="1" applyProtection="1">
      <protection hidden="1"/>
    </xf>
    <xf numFmtId="0" fontId="0" fillId="0" borderId="61" xfId="0" applyBorder="1" applyProtection="1">
      <protection hidden="1"/>
    </xf>
    <xf numFmtId="170" fontId="6" fillId="0" borderId="38" xfId="0" applyNumberFormat="1" applyFont="1" applyBorder="1" applyAlignment="1" applyProtection="1">
      <alignment horizontal="center"/>
      <protection hidden="1"/>
    </xf>
    <xf numFmtId="2" fontId="6" fillId="0" borderId="39" xfId="0" applyNumberFormat="1" applyFont="1" applyBorder="1" applyAlignment="1" applyProtection="1">
      <alignment horizontal="center"/>
      <protection hidden="1"/>
    </xf>
    <xf numFmtId="164" fontId="16" fillId="0" borderId="43" xfId="0" applyNumberFormat="1" applyFont="1" applyBorder="1" applyProtection="1">
      <protection hidden="1"/>
    </xf>
    <xf numFmtId="164" fontId="0" fillId="0" borderId="44" xfId="0" applyNumberFormat="1" applyBorder="1" applyProtection="1">
      <protection hidden="1"/>
    </xf>
    <xf numFmtId="0" fontId="0" fillId="0" borderId="45" xfId="0" applyBorder="1" applyProtection="1">
      <protection hidden="1"/>
    </xf>
    <xf numFmtId="0" fontId="6" fillId="0" borderId="31" xfId="0" applyFont="1" applyBorder="1" applyProtection="1">
      <protection hidden="1"/>
    </xf>
    <xf numFmtId="164" fontId="6" fillId="0" borderId="32" xfId="0" applyNumberFormat="1" applyFont="1" applyBorder="1" applyAlignment="1" applyProtection="1">
      <alignment horizontal="center"/>
      <protection hidden="1"/>
    </xf>
    <xf numFmtId="174" fontId="7" fillId="0" borderId="32" xfId="0" applyNumberFormat="1" applyFont="1" applyBorder="1" applyProtection="1">
      <protection hidden="1"/>
    </xf>
    <xf numFmtId="165" fontId="7" fillId="0" borderId="32" xfId="0" applyNumberFormat="1" applyFont="1" applyBorder="1" applyProtection="1">
      <protection hidden="1"/>
    </xf>
    <xf numFmtId="165" fontId="9" fillId="0" borderId="32" xfId="0" applyNumberFormat="1" applyFont="1" applyBorder="1" applyProtection="1">
      <protection hidden="1"/>
    </xf>
    <xf numFmtId="166" fontId="7" fillId="0" borderId="32" xfId="0" applyNumberFormat="1" applyFont="1" applyBorder="1" applyProtection="1">
      <protection hidden="1"/>
    </xf>
    <xf numFmtId="0" fontId="0" fillId="0" borderId="62" xfId="0" applyBorder="1" applyProtection="1">
      <protection hidden="1"/>
    </xf>
    <xf numFmtId="0" fontId="0" fillId="0" borderId="63" xfId="0" applyBorder="1" applyProtection="1">
      <protection hidden="1"/>
    </xf>
    <xf numFmtId="170" fontId="6" fillId="0" borderId="32" xfId="0" applyNumberFormat="1" applyFont="1" applyBorder="1" applyAlignment="1" applyProtection="1">
      <alignment horizontal="center"/>
      <protection hidden="1"/>
    </xf>
    <xf numFmtId="2" fontId="6" fillId="0" borderId="33" xfId="0" applyNumberFormat="1" applyFont="1" applyBorder="1" applyAlignment="1" applyProtection="1">
      <alignment horizontal="center"/>
      <protection hidden="1"/>
    </xf>
    <xf numFmtId="164" fontId="0" fillId="0" borderId="45" xfId="0" applyNumberFormat="1" applyBorder="1" applyProtection="1">
      <protection hidden="1"/>
    </xf>
    <xf numFmtId="0" fontId="6" fillId="0" borderId="31" xfId="0" applyFont="1" applyFill="1" applyBorder="1" applyProtection="1">
      <protection hidden="1"/>
    </xf>
    <xf numFmtId="164" fontId="6" fillId="0" borderId="32" xfId="0" applyNumberFormat="1" applyFont="1" applyFill="1" applyBorder="1" applyAlignment="1" applyProtection="1">
      <alignment horizontal="center"/>
      <protection hidden="1"/>
    </xf>
    <xf numFmtId="174" fontId="7" fillId="0" borderId="32" xfId="0" applyNumberFormat="1" applyFont="1" applyFill="1" applyBorder="1" applyProtection="1">
      <protection hidden="1"/>
    </xf>
    <xf numFmtId="165" fontId="7" fillId="0" borderId="32" xfId="0" applyNumberFormat="1" applyFont="1" applyFill="1" applyBorder="1" applyProtection="1">
      <protection hidden="1"/>
    </xf>
    <xf numFmtId="165" fontId="9" fillId="0" borderId="32" xfId="0" applyNumberFormat="1" applyFont="1" applyFill="1" applyBorder="1" applyProtection="1">
      <protection hidden="1"/>
    </xf>
    <xf numFmtId="166" fontId="7" fillId="0" borderId="32" xfId="0" applyNumberFormat="1" applyFont="1" applyFill="1" applyBorder="1" applyProtection="1">
      <protection hidden="1"/>
    </xf>
    <xf numFmtId="0" fontId="0" fillId="0" borderId="62" xfId="0" applyFill="1" applyBorder="1" applyProtection="1">
      <protection hidden="1"/>
    </xf>
    <xf numFmtId="0" fontId="0" fillId="0" borderId="63" xfId="0" applyFill="1" applyBorder="1" applyProtection="1">
      <protection hidden="1"/>
    </xf>
    <xf numFmtId="170" fontId="6" fillId="0" borderId="32" xfId="0" applyNumberFormat="1" applyFont="1" applyFill="1" applyBorder="1" applyAlignment="1" applyProtection="1">
      <alignment horizontal="center"/>
      <protection hidden="1"/>
    </xf>
    <xf numFmtId="2" fontId="6" fillId="0" borderId="33" xfId="0" applyNumberFormat="1" applyFont="1" applyFill="1" applyBorder="1" applyAlignment="1" applyProtection="1">
      <alignment horizontal="center"/>
      <protection hidden="1"/>
    </xf>
    <xf numFmtId="0" fontId="6" fillId="0" borderId="34" xfId="0" applyFont="1" applyBorder="1" applyProtection="1">
      <protection hidden="1"/>
    </xf>
    <xf numFmtId="164" fontId="6" fillId="0" borderId="35" xfId="0" applyNumberFormat="1" applyFont="1" applyBorder="1" applyAlignment="1" applyProtection="1">
      <alignment horizontal="center"/>
      <protection hidden="1"/>
    </xf>
    <xf numFmtId="174" fontId="7" fillId="0" borderId="35" xfId="0" applyNumberFormat="1" applyFont="1" applyBorder="1" applyProtection="1">
      <protection hidden="1"/>
    </xf>
    <xf numFmtId="165" fontId="7" fillId="0" borderId="35" xfId="0" applyNumberFormat="1" applyFont="1" applyBorder="1" applyProtection="1">
      <protection hidden="1"/>
    </xf>
    <xf numFmtId="165" fontId="9" fillId="0" borderId="35" xfId="0" applyNumberFormat="1" applyFont="1" applyBorder="1" applyProtection="1">
      <protection hidden="1"/>
    </xf>
    <xf numFmtId="166" fontId="7" fillId="0" borderId="35" xfId="0" applyNumberFormat="1" applyFont="1" applyBorder="1" applyProtection="1">
      <protection hidden="1"/>
    </xf>
    <xf numFmtId="0" fontId="0" fillId="0" borderId="64" xfId="0" applyBorder="1" applyProtection="1">
      <protection hidden="1"/>
    </xf>
    <xf numFmtId="0" fontId="0" fillId="0" borderId="65" xfId="0" applyBorder="1" applyProtection="1">
      <protection hidden="1"/>
    </xf>
    <xf numFmtId="170" fontId="6" fillId="0" borderId="35" xfId="0" applyNumberFormat="1" applyFont="1" applyBorder="1" applyAlignment="1" applyProtection="1">
      <alignment horizontal="center"/>
      <protection hidden="1"/>
    </xf>
    <xf numFmtId="2" fontId="6" fillId="0" borderId="36" xfId="0" applyNumberFormat="1" applyFont="1" applyBorder="1" applyAlignment="1" applyProtection="1">
      <alignment horizontal="center"/>
      <protection hidden="1"/>
    </xf>
    <xf numFmtId="164" fontId="16" fillId="0" borderId="48" xfId="0" applyNumberFormat="1" applyFont="1" applyBorder="1" applyProtection="1">
      <protection hidden="1"/>
    </xf>
    <xf numFmtId="164" fontId="0" fillId="0" borderId="49" xfId="0" applyNumberFormat="1" applyBorder="1" applyProtection="1">
      <protection hidden="1"/>
    </xf>
    <xf numFmtId="164" fontId="0" fillId="0" borderId="50" xfId="0" applyNumberFormat="1" applyBorder="1" applyProtection="1">
      <protection hidden="1"/>
    </xf>
    <xf numFmtId="0" fontId="0" fillId="0" borderId="53" xfId="0" applyBorder="1" applyProtection="1">
      <protection hidden="1"/>
    </xf>
    <xf numFmtId="0" fontId="0" fillId="0" borderId="54" xfId="0" applyBorder="1" applyProtection="1">
      <protection hidden="1"/>
    </xf>
    <xf numFmtId="164" fontId="0" fillId="0" borderId="54" xfId="0" applyNumberFormat="1" applyBorder="1" applyProtection="1">
      <protection hidden="1"/>
    </xf>
    <xf numFmtId="170" fontId="6" fillId="0" borderId="54" xfId="0" applyNumberFormat="1" applyFont="1" applyBorder="1" applyAlignment="1" applyProtection="1">
      <alignment horizontal="center"/>
      <protection hidden="1"/>
    </xf>
    <xf numFmtId="164" fontId="6" fillId="0" borderId="54" xfId="0" applyNumberFormat="1" applyFont="1" applyBorder="1" applyAlignment="1" applyProtection="1">
      <alignment horizontal="right"/>
      <protection hidden="1"/>
    </xf>
    <xf numFmtId="172" fontId="6" fillId="0" borderId="54" xfId="0" applyNumberFormat="1" applyFont="1" applyBorder="1" applyAlignment="1" applyProtection="1">
      <alignment horizontal="center"/>
      <protection hidden="1"/>
    </xf>
    <xf numFmtId="168" fontId="6" fillId="0" borderId="54" xfId="0" applyNumberFormat="1" applyFont="1" applyBorder="1" applyAlignment="1" applyProtection="1">
      <alignment horizontal="center"/>
      <protection hidden="1"/>
    </xf>
    <xf numFmtId="173" fontId="0" fillId="0" borderId="54" xfId="0" applyNumberFormat="1" applyBorder="1" applyAlignment="1" applyProtection="1">
      <alignment horizontal="center"/>
      <protection hidden="1"/>
    </xf>
    <xf numFmtId="172" fontId="0" fillId="0" borderId="41" xfId="0" applyNumberFormat="1" applyBorder="1" applyAlignment="1" applyProtection="1">
      <alignment horizontal="center"/>
      <protection hidden="1"/>
    </xf>
    <xf numFmtId="172" fontId="6" fillId="0" borderId="55" xfId="0" applyNumberFormat="1" applyFont="1" applyBorder="1" applyAlignment="1" applyProtection="1">
      <alignment horizontal="center"/>
      <protection hidden="1"/>
    </xf>
    <xf numFmtId="0" fontId="0" fillId="0" borderId="46" xfId="0" applyBorder="1" applyProtection="1">
      <protection hidden="1"/>
    </xf>
    <xf numFmtId="0" fontId="0" fillId="0" borderId="51" xfId="0" applyBorder="1" applyAlignment="1" applyProtection="1">
      <alignment horizontal="right"/>
      <protection hidden="1"/>
    </xf>
    <xf numFmtId="166" fontId="0" fillId="0" borderId="52" xfId="0" applyNumberFormat="1" applyBorder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Border="1" applyProtection="1">
      <protection hidden="1"/>
    </xf>
    <xf numFmtId="170" fontId="0" fillId="0" borderId="0" xfId="0" applyNumberFormat="1" applyProtection="1">
      <protection hidden="1"/>
    </xf>
    <xf numFmtId="181" fontId="40" fillId="4" borderId="76" xfId="0" applyNumberFormat="1" applyFont="1" applyFill="1" applyBorder="1" applyAlignment="1" applyProtection="1">
      <alignment horizontal="center" vertical="center"/>
      <protection locked="0"/>
    </xf>
    <xf numFmtId="181" fontId="40" fillId="4" borderId="80" xfId="0" applyNumberFormat="1" applyFont="1" applyFill="1" applyBorder="1" applyAlignment="1" applyProtection="1">
      <alignment horizontal="center" vertical="center"/>
      <protection locked="0"/>
    </xf>
    <xf numFmtId="21" fontId="22" fillId="4" borderId="78" xfId="0" applyNumberFormat="1" applyFont="1" applyFill="1" applyBorder="1" applyAlignment="1" applyProtection="1">
      <alignment horizontal="center" vertical="center"/>
      <protection locked="0"/>
    </xf>
    <xf numFmtId="181" fontId="40" fillId="4" borderId="77" xfId="0" applyNumberFormat="1" applyFont="1" applyFill="1" applyBorder="1" applyAlignment="1" applyProtection="1">
      <alignment horizontal="center" vertical="center"/>
      <protection locked="0"/>
    </xf>
    <xf numFmtId="181" fontId="40" fillId="4" borderId="81" xfId="0" applyNumberFormat="1" applyFont="1" applyFill="1" applyBorder="1" applyAlignment="1" applyProtection="1">
      <alignment horizontal="center" vertical="center"/>
      <protection locked="0"/>
    </xf>
    <xf numFmtId="21" fontId="22" fillId="4" borderId="79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1FA3-219A-AC4A-B8DB-7AD36B823C40}">
  <sheetPr codeName="Tabelle2"/>
  <dimension ref="B1:T103"/>
  <sheetViews>
    <sheetView showGridLines="0" showRowColHeaders="0" tabSelected="1" zoomScale="125" zoomScaleNormal="125" workbookViewId="0">
      <selection activeCell="E5" sqref="E5:E6"/>
    </sheetView>
  </sheetViews>
  <sheetFormatPr baseColWidth="10" defaultRowHeight="16"/>
  <cols>
    <col min="1" max="1" width="2.5" style="58" customWidth="1"/>
    <col min="2" max="2" width="4.83203125" style="58" customWidth="1"/>
    <col min="3" max="3" width="11" style="58" customWidth="1"/>
    <col min="4" max="7" width="8.83203125" style="58" customWidth="1"/>
    <col min="8" max="8" width="2.6640625" style="58" customWidth="1"/>
    <col min="9" max="9" width="5.5" style="58" customWidth="1"/>
    <col min="10" max="16" width="8.83203125" style="58" customWidth="1"/>
    <col min="17" max="17" width="4.83203125" style="58" customWidth="1"/>
    <col min="18" max="16384" width="10.83203125" style="58"/>
  </cols>
  <sheetData>
    <row r="1" spans="3:16" ht="9" customHeight="1"/>
    <row r="2" spans="3:16" ht="25" customHeight="1">
      <c r="C2" s="59" t="s">
        <v>20</v>
      </c>
      <c r="D2" s="59"/>
      <c r="E2" s="59"/>
      <c r="F2" s="60" t="s">
        <v>29</v>
      </c>
      <c r="G2" s="61" t="s">
        <v>25</v>
      </c>
    </row>
    <row r="3" spans="3:16" ht="9" customHeight="1"/>
    <row r="4" spans="3:16" ht="20" customHeight="1" thickBot="1">
      <c r="L4" s="62"/>
      <c r="M4" s="63"/>
      <c r="N4" s="64"/>
    </row>
    <row r="5" spans="3:16" ht="20" customHeight="1">
      <c r="C5" s="222">
        <v>45789</v>
      </c>
      <c r="D5" s="223"/>
      <c r="E5" s="224">
        <v>0.44054398148148149</v>
      </c>
      <c r="F5" s="65">
        <f>L40</f>
        <v>339</v>
      </c>
      <c r="G5" s="66">
        <f>M40</f>
        <v>30.271764549439695</v>
      </c>
      <c r="H5" s="67"/>
      <c r="I5" s="68"/>
      <c r="L5" s="62"/>
      <c r="M5" s="63"/>
      <c r="N5" s="64"/>
    </row>
    <row r="6" spans="3:16" ht="20" customHeight="1" thickBot="1">
      <c r="C6" s="225"/>
      <c r="D6" s="226"/>
      <c r="E6" s="227"/>
      <c r="F6" s="69">
        <f>L41</f>
        <v>18</v>
      </c>
      <c r="G6" s="70">
        <f>M41</f>
        <v>15.357576888522786</v>
      </c>
      <c r="H6" s="71" t="str">
        <f>IF(K41&lt;0,"S","N")</f>
        <v>N</v>
      </c>
      <c r="I6" s="68"/>
      <c r="L6" s="62"/>
      <c r="M6" s="63"/>
      <c r="N6" s="64"/>
    </row>
    <row r="7" spans="3:16" ht="20" customHeight="1">
      <c r="I7" s="63"/>
      <c r="L7" s="62"/>
      <c r="M7" s="63"/>
      <c r="N7" s="64"/>
    </row>
    <row r="8" spans="3:16" ht="16" customHeight="1" thickBot="1">
      <c r="C8" s="72"/>
      <c r="D8" s="72"/>
      <c r="E8" s="73"/>
      <c r="F8" s="72"/>
      <c r="G8" s="72"/>
      <c r="I8" s="74" t="s">
        <v>12</v>
      </c>
      <c r="L8" s="62"/>
      <c r="M8" s="63"/>
      <c r="N8" s="64"/>
    </row>
    <row r="9" spans="3:16">
      <c r="C9" s="75">
        <f>_xlfn.DAYS(E9,DATE(YEAR(C5),1,1))</f>
        <v>131</v>
      </c>
      <c r="D9" s="76" t="s">
        <v>28</v>
      </c>
      <c r="E9" s="77">
        <f>C5</f>
        <v>45789</v>
      </c>
      <c r="F9" s="77"/>
      <c r="G9" s="78" t="s">
        <v>33</v>
      </c>
      <c r="H9" s="79">
        <f>WEEKDAY(E9,2)</f>
        <v>1</v>
      </c>
      <c r="I9" s="74"/>
      <c r="L9" s="62"/>
      <c r="M9" s="63"/>
      <c r="N9" s="64"/>
    </row>
    <row r="10" spans="3:16">
      <c r="C10" s="80" t="s">
        <v>7</v>
      </c>
      <c r="D10" s="81" t="s">
        <v>35</v>
      </c>
      <c r="E10" s="81"/>
      <c r="F10" s="82" t="s">
        <v>23</v>
      </c>
      <c r="G10" s="81"/>
      <c r="H10" s="83"/>
      <c r="I10" s="74"/>
      <c r="L10" s="62"/>
      <c r="M10" s="63"/>
      <c r="N10" s="64"/>
    </row>
    <row r="11" spans="3:16">
      <c r="C11" s="84"/>
      <c r="D11" s="85" t="s">
        <v>8</v>
      </c>
      <c r="E11" s="86" t="s">
        <v>9</v>
      </c>
      <c r="F11" s="87" t="s">
        <v>8</v>
      </c>
      <c r="G11" s="86" t="s">
        <v>9</v>
      </c>
      <c r="H11" s="83"/>
      <c r="I11" s="74"/>
      <c r="L11" s="62"/>
      <c r="M11" s="63"/>
      <c r="N11" s="64"/>
    </row>
    <row r="12" spans="3:16">
      <c r="C12" s="88">
        <v>0</v>
      </c>
      <c r="D12" s="89">
        <f>INT(P46)</f>
        <v>180</v>
      </c>
      <c r="E12" s="90">
        <f>(P46-D12)*60</f>
        <v>54.421355133947031</v>
      </c>
      <c r="F12" s="89">
        <f>ABS(ROUNDDOWN(S46,0))</f>
        <v>18</v>
      </c>
      <c r="G12" s="91">
        <f>(ABS(S46)-F12)*60</f>
        <v>8.741711658119371</v>
      </c>
      <c r="H12" s="92" t="str">
        <f>IF(S46&lt;0,"S","N")</f>
        <v>N</v>
      </c>
      <c r="I12" s="1"/>
      <c r="L12" s="62"/>
      <c r="M12" s="63"/>
      <c r="N12" s="64"/>
    </row>
    <row r="13" spans="3:16">
      <c r="C13" s="93">
        <f>1+C12</f>
        <v>1</v>
      </c>
      <c r="D13" s="94">
        <f>INT(P47)</f>
        <v>195</v>
      </c>
      <c r="E13" s="95">
        <f>(P47-D13)*60</f>
        <v>54.432042907257028</v>
      </c>
      <c r="F13" s="94">
        <f>ABS(ROUNDDOWN(S47,0))</f>
        <v>18</v>
      </c>
      <c r="G13" s="96">
        <f>(ABS(S47)-F13)*60</f>
        <v>9.3699891306707173</v>
      </c>
      <c r="H13" s="97" t="str">
        <f>IF(S47&lt;0,"S","N")</f>
        <v>N</v>
      </c>
      <c r="I13" s="1"/>
      <c r="O13" s="74"/>
      <c r="P13" s="74"/>
    </row>
    <row r="14" spans="3:16">
      <c r="C14" s="93">
        <f t="shared" ref="C14:C16" si="0">1+C13</f>
        <v>2</v>
      </c>
      <c r="D14" s="94">
        <f>INT(P48)</f>
        <v>210</v>
      </c>
      <c r="E14" s="95">
        <f>(P48-D14)*60</f>
        <v>54.442482397343497</v>
      </c>
      <c r="F14" s="94">
        <f>ABS(ROUNDDOWN(S48,0))</f>
        <v>18</v>
      </c>
      <c r="G14" s="96">
        <f>(ABS(S48)-F14)*60</f>
        <v>9.9977364105065192</v>
      </c>
      <c r="H14" s="97" t="str">
        <f>IF(S48&lt;0,"S","N")</f>
        <v>N</v>
      </c>
      <c r="I14" s="1"/>
      <c r="O14" s="74"/>
      <c r="P14" s="74"/>
    </row>
    <row r="15" spans="3:16">
      <c r="C15" s="93">
        <f t="shared" si="0"/>
        <v>3</v>
      </c>
      <c r="D15" s="94">
        <f>INT(P49)</f>
        <v>225</v>
      </c>
      <c r="E15" s="95">
        <f>(P49-D15)*60</f>
        <v>54.452673620432392</v>
      </c>
      <c r="F15" s="94">
        <f>ABS(ROUNDDOWN(S49,0))</f>
        <v>18</v>
      </c>
      <c r="G15" s="96">
        <f>(ABS(S49)-F15)*60</f>
        <v>10.624953151359549</v>
      </c>
      <c r="H15" s="97" t="str">
        <f>IF(S49&lt;0,"S","N")</f>
        <v>N</v>
      </c>
      <c r="I15" s="1"/>
      <c r="O15" s="74"/>
      <c r="P15" s="74"/>
    </row>
    <row r="16" spans="3:16">
      <c r="C16" s="93">
        <f t="shared" si="0"/>
        <v>4</v>
      </c>
      <c r="D16" s="94">
        <f>INT(P50)</f>
        <v>240</v>
      </c>
      <c r="E16" s="95">
        <f>(P50-D16)*60</f>
        <v>54.46261659357674</v>
      </c>
      <c r="F16" s="94">
        <f>ABS(ROUNDDOWN(S50,0))</f>
        <v>18</v>
      </c>
      <c r="G16" s="96">
        <f>(ABS(S50)-F16)*60</f>
        <v>11.251639007277205</v>
      </c>
      <c r="H16" s="97" t="str">
        <f>IF(S50&lt;0,"S","N")</f>
        <v>N</v>
      </c>
      <c r="I16" s="1"/>
      <c r="O16" s="74"/>
      <c r="P16" s="74"/>
    </row>
    <row r="17" spans="3:16">
      <c r="C17" s="98"/>
      <c r="D17" s="94"/>
      <c r="E17" s="99"/>
      <c r="F17" s="100"/>
      <c r="G17" s="101"/>
      <c r="H17" s="97"/>
      <c r="I17" s="102"/>
      <c r="O17" s="74"/>
      <c r="P17" s="74"/>
    </row>
    <row r="18" spans="3:16">
      <c r="C18" s="93">
        <f>1+C16</f>
        <v>5</v>
      </c>
      <c r="D18" s="94">
        <f>INT(P51)</f>
        <v>255</v>
      </c>
      <c r="E18" s="95">
        <f>(P51-D18)*60</f>
        <v>54.47231133410753</v>
      </c>
      <c r="F18" s="94">
        <f>ABS(ROUNDDOWN(S51,0))</f>
        <v>18</v>
      </c>
      <c r="G18" s="96">
        <f>(ABS(S51)-F18)*60</f>
        <v>11.877793632455464</v>
      </c>
      <c r="H18" s="97" t="str">
        <f>IF(S51&lt;0,"S","N")</f>
        <v>N</v>
      </c>
      <c r="I18" s="1"/>
      <c r="O18" s="74"/>
      <c r="P18" s="74"/>
    </row>
    <row r="19" spans="3:16">
      <c r="C19" s="93">
        <f>1+C18</f>
        <v>6</v>
      </c>
      <c r="D19" s="94">
        <f>INT(P52)</f>
        <v>270</v>
      </c>
      <c r="E19" s="95">
        <f>(P52-D19)*60</f>
        <v>54.481757860189646</v>
      </c>
      <c r="F19" s="94">
        <f>ABS(ROUNDDOWN(S52,0))</f>
        <v>18</v>
      </c>
      <c r="G19" s="96">
        <f>(ABS(S52)-F19)*60</f>
        <v>12.503416681208606</v>
      </c>
      <c r="H19" s="97" t="str">
        <f>IF(S52&lt;0,"S","N")</f>
        <v>N</v>
      </c>
      <c r="I19" s="1"/>
      <c r="O19" s="74"/>
      <c r="P19" s="74"/>
    </row>
    <row r="20" spans="3:16">
      <c r="C20" s="93">
        <f>1+C19</f>
        <v>7</v>
      </c>
      <c r="D20" s="94">
        <f>INT(P53)</f>
        <v>285</v>
      </c>
      <c r="E20" s="95">
        <f>(P53-D20)*60</f>
        <v>54.49095619047398</v>
      </c>
      <c r="F20" s="94">
        <f>ABS(ROUNDDOWN(S53,0))</f>
        <v>18</v>
      </c>
      <c r="G20" s="96">
        <f>(ABS(S53)-F20)*60</f>
        <v>13.128507808138465</v>
      </c>
      <c r="H20" s="97" t="str">
        <f>IF(S53&lt;0,"S","N")</f>
        <v>N</v>
      </c>
      <c r="I20" s="1"/>
      <c r="O20" s="74"/>
      <c r="P20" s="74"/>
    </row>
    <row r="21" spans="3:16">
      <c r="C21" s="93">
        <f>1+C20</f>
        <v>8</v>
      </c>
      <c r="D21" s="94">
        <f>INT(P54)</f>
        <v>300</v>
      </c>
      <c r="E21" s="95">
        <f>(P54-D21)*60</f>
        <v>54.49990634412643</v>
      </c>
      <c r="F21" s="94">
        <f>ABS(ROUNDDOWN(S54,0))</f>
        <v>18</v>
      </c>
      <c r="G21" s="96">
        <f>(ABS(S54)-F21)*60</f>
        <v>13.753066667969662</v>
      </c>
      <c r="H21" s="97" t="str">
        <f>IF(S54&lt;0,"S","N")</f>
        <v>N</v>
      </c>
      <c r="I21" s="1"/>
      <c r="O21" s="74"/>
      <c r="P21" s="74"/>
    </row>
    <row r="22" spans="3:16">
      <c r="C22" s="93">
        <f>1+C21</f>
        <v>9</v>
      </c>
      <c r="D22" s="94">
        <f>INT(P55)</f>
        <v>315</v>
      </c>
      <c r="E22" s="95">
        <f>(P55-D22)*60</f>
        <v>54.508608341024001</v>
      </c>
      <c r="F22" s="94">
        <f>ABS(ROUNDDOWN(S55,0))</f>
        <v>18</v>
      </c>
      <c r="G22" s="96">
        <f>(ABS(S55)-F22)*60</f>
        <v>14.377092915573471</v>
      </c>
      <c r="H22" s="97" t="str">
        <f>IF(S55&lt;0,"S","N")</f>
        <v>N</v>
      </c>
      <c r="I22" s="1"/>
      <c r="O22" s="74"/>
      <c r="P22" s="74"/>
    </row>
    <row r="23" spans="3:16">
      <c r="C23" s="98"/>
      <c r="D23" s="94"/>
      <c r="E23" s="99"/>
      <c r="F23" s="100"/>
      <c r="G23" s="101"/>
      <c r="H23" s="97"/>
      <c r="I23" s="102"/>
      <c r="J23" s="103"/>
      <c r="K23" s="104"/>
      <c r="L23" s="104"/>
      <c r="M23" s="105"/>
      <c r="N23" s="106"/>
      <c r="O23" s="74"/>
      <c r="P23" s="74"/>
    </row>
    <row r="24" spans="3:16">
      <c r="C24" s="93">
        <f>1+C22</f>
        <v>10</v>
      </c>
      <c r="D24" s="94">
        <f>INT(P56)</f>
        <v>330</v>
      </c>
      <c r="E24" s="95">
        <f>(P56-D24)*60</f>
        <v>54.517062201541648</v>
      </c>
      <c r="F24" s="94">
        <f>ABS(ROUNDDOWN(S56,0))</f>
        <v>18</v>
      </c>
      <c r="G24" s="96">
        <f>(ABS(S56)-F24)*60</f>
        <v>15.00058620611064</v>
      </c>
      <c r="H24" s="97" t="str">
        <f>IF(S56&lt;0,"S","N")</f>
        <v>N</v>
      </c>
      <c r="I24" s="1"/>
      <c r="J24" s="2"/>
    </row>
    <row r="25" spans="3:16">
      <c r="C25" s="93">
        <f>1+C24</f>
        <v>11</v>
      </c>
      <c r="D25" s="94">
        <f>INT(P57)</f>
        <v>345</v>
      </c>
      <c r="E25" s="95">
        <f>(P57-D25)*60</f>
        <v>54.525267946780787</v>
      </c>
      <c r="F25" s="94">
        <f>ABS(ROUNDDOWN(S57,0))</f>
        <v>18</v>
      </c>
      <c r="G25" s="96">
        <f>(ABS(S57)-F25)*60</f>
        <v>15.62354619480864</v>
      </c>
      <c r="H25" s="97" t="str">
        <f>IF(S57&lt;0,"S","N")</f>
        <v>N</v>
      </c>
      <c r="I25" s="1"/>
      <c r="J25" s="2"/>
    </row>
    <row r="26" spans="3:16">
      <c r="C26" s="93">
        <f>1+C25</f>
        <v>12</v>
      </c>
      <c r="D26" s="94">
        <f>INT(P58)</f>
        <v>0</v>
      </c>
      <c r="E26" s="95">
        <f>(P58-D26)*60</f>
        <v>54.533225598341062</v>
      </c>
      <c r="F26" s="94">
        <f>ABS(ROUNDDOWN(S58,0))</f>
        <v>18</v>
      </c>
      <c r="G26" s="96">
        <f>(ABS(S58)-F26)*60</f>
        <v>16.245972537099149</v>
      </c>
      <c r="H26" s="97" t="str">
        <f>IF(S58&lt;0,"S","N")</f>
        <v>N</v>
      </c>
      <c r="I26" s="1"/>
      <c r="J26" s="2"/>
    </row>
    <row r="27" spans="3:16">
      <c r="C27" s="93">
        <f>1+C26</f>
        <v>13</v>
      </c>
      <c r="D27" s="94">
        <f>INT(P59)</f>
        <v>15</v>
      </c>
      <c r="E27" s="95">
        <f>(P59-D27)*60</f>
        <v>54.540935178318612</v>
      </c>
      <c r="F27" s="94">
        <f>ABS(ROUNDDOWN(S59,0))</f>
        <v>18</v>
      </c>
      <c r="G27" s="96">
        <f>(ABS(S59)-F27)*60</f>
        <v>16.867864888706308</v>
      </c>
      <c r="H27" s="97" t="str">
        <f>IF(S59&lt;0,"S","N")</f>
        <v>N</v>
      </c>
      <c r="I27" s="1"/>
      <c r="J27" s="2"/>
    </row>
    <row r="28" spans="3:16">
      <c r="C28" s="93">
        <f>1+C27</f>
        <v>14</v>
      </c>
      <c r="D28" s="94">
        <f>INT(P60)</f>
        <v>30</v>
      </c>
      <c r="E28" s="95">
        <f>(P60-D28)*60</f>
        <v>54.548396709535183</v>
      </c>
      <c r="F28" s="94">
        <f>ABS(ROUNDDOWN(S60,0))</f>
        <v>18</v>
      </c>
      <c r="G28" s="96">
        <f>(ABS(S60)-F28)*60</f>
        <v>17.489222905419268</v>
      </c>
      <c r="H28" s="97" t="str">
        <f>IF(S60&lt;0,"S","N")</f>
        <v>N</v>
      </c>
      <c r="I28" s="1"/>
      <c r="J28" s="2"/>
    </row>
    <row r="29" spans="3:16">
      <c r="C29" s="98"/>
      <c r="D29" s="94"/>
      <c r="E29" s="99"/>
      <c r="F29" s="100"/>
      <c r="G29" s="101"/>
      <c r="H29" s="97"/>
      <c r="I29" s="102"/>
      <c r="J29" s="103"/>
    </row>
    <row r="30" spans="3:16">
      <c r="C30" s="93">
        <f>1+C28</f>
        <v>15</v>
      </c>
      <c r="D30" s="94">
        <f>INT(P61)</f>
        <v>45</v>
      </c>
      <c r="E30" s="95">
        <f>(P61-D30)*60</f>
        <v>54.555610215532084</v>
      </c>
      <c r="F30" s="94">
        <f>ABS(ROUNDDOWN(S61,0))</f>
        <v>18</v>
      </c>
      <c r="G30" s="96">
        <f>(ABS(S61)-F30)*60</f>
        <v>18.110046243207307</v>
      </c>
      <c r="H30" s="97" t="str">
        <f>IF(S61&lt;0,"S","N")</f>
        <v>N</v>
      </c>
      <c r="I30" s="1"/>
      <c r="J30" s="36"/>
    </row>
    <row r="31" spans="3:16" ht="17" thickBot="1">
      <c r="C31" s="93">
        <f>1+C30</f>
        <v>16</v>
      </c>
      <c r="D31" s="94">
        <f>INT(P62)</f>
        <v>60</v>
      </c>
      <c r="E31" s="95">
        <f>(P62-D31)*60</f>
        <v>54.562575720022295</v>
      </c>
      <c r="F31" s="94">
        <f>ABS(ROUNDDOWN(S62,0))</f>
        <v>18</v>
      </c>
      <c r="G31" s="96">
        <f>(ABS(S62)-F31)*60</f>
        <v>18.730334558302957</v>
      </c>
      <c r="H31" s="97" t="str">
        <f>IF(S62&lt;0,"S","N")</f>
        <v>N</v>
      </c>
      <c r="I31" s="1"/>
      <c r="J31" s="2"/>
    </row>
    <row r="32" spans="3:16">
      <c r="C32" s="93">
        <f>1+C31</f>
        <v>17</v>
      </c>
      <c r="D32" s="94">
        <f>INT(P63)</f>
        <v>75</v>
      </c>
      <c r="E32" s="95">
        <f>(P63-D32)*60</f>
        <v>54.569293247766382</v>
      </c>
      <c r="F32" s="94">
        <f>ABS(ROUNDDOWN(S63,0))</f>
        <v>18</v>
      </c>
      <c r="G32" s="96">
        <f>(ABS(S63)-F32)*60</f>
        <v>19.350087507090521</v>
      </c>
      <c r="H32" s="97" t="str">
        <f>IF(S63&lt;0,"S","N")</f>
        <v>N</v>
      </c>
      <c r="I32" s="1"/>
      <c r="J32" s="3" t="s">
        <v>27</v>
      </c>
      <c r="K32" s="27">
        <f>DGET(C10:H39,2,J37:J38)+DGET(C10:H39,3,J37:J38)/60</f>
        <v>330.90861770335903</v>
      </c>
      <c r="L32" s="20" t="s">
        <v>11</v>
      </c>
      <c r="M32" s="31">
        <f>(DGET(C10:H38,4,J37:J38)+DGET(C10:H38,5,J37:J38)/60)*IF(DGET(C10:H38,6,J37:J38)="N",1,-1)</f>
        <v>18.250009770101844</v>
      </c>
    </row>
    <row r="33" spans="2:20">
      <c r="C33" s="93">
        <f>1+C32</f>
        <v>18</v>
      </c>
      <c r="D33" s="94">
        <f>INT(P64)</f>
        <v>90</v>
      </c>
      <c r="E33" s="95">
        <f>(P64-D33)*60</f>
        <v>54.575762823812681</v>
      </c>
      <c r="F33" s="94">
        <f>ABS(ROUNDDOWN(S64,0))</f>
        <v>18</v>
      </c>
      <c r="G33" s="96">
        <f>(ABS(S64)-F33)*60</f>
        <v>19.969304746134853</v>
      </c>
      <c r="H33" s="97" t="str">
        <f>IF(S64&lt;0,"S","N")</f>
        <v>N</v>
      </c>
      <c r="I33" s="1"/>
      <c r="J33" s="21" t="s">
        <v>32</v>
      </c>
      <c r="K33" s="28">
        <f>DGET(C10:H38,2,K37:K38)+DGET(C10:H38,3,K37:K38)/60</f>
        <v>345.90875446577968</v>
      </c>
      <c r="L33" s="22" t="s">
        <v>24</v>
      </c>
      <c r="M33" s="29">
        <f>(DGET(C10:H38,4,K37:K38)+DGET(C10:H38,5,K37:K38)/60)*IF(DGET(C10:H38,6,K37:K38)="N",1,-1)</f>
        <v>18.260392436580144</v>
      </c>
      <c r="O33" s="107"/>
      <c r="P33" s="106"/>
    </row>
    <row r="34" spans="2:20">
      <c r="C34" s="93">
        <f>1+C33</f>
        <v>19</v>
      </c>
      <c r="D34" s="94">
        <f>INT(P65)</f>
        <v>105</v>
      </c>
      <c r="E34" s="95">
        <f>(P65-D34)*60</f>
        <v>54.581984473929595</v>
      </c>
      <c r="F34" s="94">
        <f>ABS(ROUNDDOWN(S65,0))</f>
        <v>18</v>
      </c>
      <c r="G34" s="96">
        <f>(ABS(S65)-F34)*60</f>
        <v>20.587985932154496</v>
      </c>
      <c r="H34" s="97" t="str">
        <f>IF(S65&lt;0,"S","N")</f>
        <v>N</v>
      </c>
      <c r="I34" s="1"/>
      <c r="J34" s="23" t="s">
        <v>21</v>
      </c>
      <c r="K34" s="29">
        <f>K33-K32</f>
        <v>15.000136762420652</v>
      </c>
      <c r="L34" s="23" t="s">
        <v>21</v>
      </c>
      <c r="M34" s="29">
        <f>M33-M32</f>
        <v>1.0382666478299996E-2</v>
      </c>
      <c r="O34" s="107"/>
      <c r="P34" s="106"/>
    </row>
    <row r="35" spans="2:20">
      <c r="C35" s="98"/>
      <c r="D35" s="94"/>
      <c r="E35" s="99"/>
      <c r="F35" s="100"/>
      <c r="G35" s="101"/>
      <c r="H35" s="97"/>
      <c r="I35" s="102"/>
      <c r="J35" s="23" t="s">
        <v>22</v>
      </c>
      <c r="K35" s="29">
        <f>IF(K34&lt;0,K34+360,IF(K34&gt;360,K34-360,K34))</f>
        <v>15.000136762420652</v>
      </c>
      <c r="L35" s="23"/>
      <c r="M35" s="29"/>
      <c r="O35" s="107"/>
      <c r="P35" s="106"/>
    </row>
    <row r="36" spans="2:20" ht="17" thickBot="1">
      <c r="C36" s="93">
        <f>1+C34</f>
        <v>20</v>
      </c>
      <c r="D36" s="94">
        <f>INT(P66)</f>
        <v>120</v>
      </c>
      <c r="E36" s="95">
        <f>(P66-D36)*60</f>
        <v>54.587958224603881</v>
      </c>
      <c r="F36" s="94">
        <f>ABS(ROUNDDOWN(S66,0))</f>
        <v>18</v>
      </c>
      <c r="G36" s="96">
        <f>(ABS(S66)-F36)*60</f>
        <v>21.206130722103538</v>
      </c>
      <c r="H36" s="97" t="str">
        <f>IF(S66&lt;0,"S","N")</f>
        <v>N</v>
      </c>
      <c r="I36" s="1"/>
      <c r="J36" s="19" t="s">
        <v>31</v>
      </c>
      <c r="K36" s="30">
        <f>(MINUTE(E5)+SECOND(E5)/60)*K35/60</f>
        <v>8.5959117057982795</v>
      </c>
      <c r="L36" s="19" t="s">
        <v>31</v>
      </c>
      <c r="M36" s="30">
        <f>(MINUTE(E5)+SECOND(E5)/60)*M34/60</f>
        <v>5.9498447068702474E-3</v>
      </c>
      <c r="O36" s="107"/>
      <c r="P36" s="106"/>
    </row>
    <row r="37" spans="2:20">
      <c r="C37" s="93">
        <f>1+C36</f>
        <v>21</v>
      </c>
      <c r="D37" s="94">
        <f>INT(P67)</f>
        <v>135</v>
      </c>
      <c r="E37" s="95">
        <f>(P67-D37)*60</f>
        <v>54.593684102497946</v>
      </c>
      <c r="F37" s="94">
        <f>ABS(ROUNDDOWN(S67,0))</f>
        <v>18</v>
      </c>
      <c r="G37" s="96">
        <f>(ABS(S67)-F37)*60</f>
        <v>21.823738773146246</v>
      </c>
      <c r="H37" s="97" t="str">
        <f>IF(S67&lt;0,"S","N")</f>
        <v>N</v>
      </c>
      <c r="I37" s="1"/>
      <c r="J37" s="3" t="s">
        <v>7</v>
      </c>
      <c r="K37" s="4" t="s">
        <v>7</v>
      </c>
      <c r="L37" s="3"/>
      <c r="M37" s="4"/>
      <c r="O37" s="107"/>
      <c r="P37" s="106"/>
    </row>
    <row r="38" spans="2:20" ht="17" thickBot="1">
      <c r="C38" s="93">
        <f>1+C37</f>
        <v>22</v>
      </c>
      <c r="D38" s="94">
        <f>INT(P68)</f>
        <v>150</v>
      </c>
      <c r="E38" s="95">
        <f>(P68-D38)*60</f>
        <v>54.59916213533063</v>
      </c>
      <c r="F38" s="94">
        <f>ABS(ROUNDDOWN(S68,0))</f>
        <v>18</v>
      </c>
      <c r="G38" s="96">
        <f>(ABS(S68)-F38)*60</f>
        <v>22.440809742517871</v>
      </c>
      <c r="H38" s="97" t="str">
        <f>IF(S68&lt;0,"S","N")</f>
        <v>N</v>
      </c>
      <c r="I38" s="1"/>
      <c r="J38" s="7">
        <f>HOUR(E5)</f>
        <v>10</v>
      </c>
      <c r="K38" s="6">
        <f>HOUR(E5)+1</f>
        <v>11</v>
      </c>
      <c r="L38" s="5"/>
      <c r="M38" s="6"/>
      <c r="O38" s="107"/>
      <c r="P38" s="106"/>
    </row>
    <row r="39" spans="2:20" ht="17" thickBot="1">
      <c r="C39" s="93">
        <f>1+C38</f>
        <v>23</v>
      </c>
      <c r="D39" s="94">
        <f>INT(P69)</f>
        <v>165</v>
      </c>
      <c r="E39" s="95">
        <f>(P69-D39)*60</f>
        <v>54.604392351091064</v>
      </c>
      <c r="F39" s="94">
        <f>ABS(ROUNDDOWN(S69,0))</f>
        <v>18</v>
      </c>
      <c r="G39" s="96">
        <f>(ABS(S69)-F39)*60</f>
        <v>23.057343287830534</v>
      </c>
      <c r="H39" s="97" t="str">
        <f>IF(S69&lt;0,"S","N")</f>
        <v>N</v>
      </c>
      <c r="I39" s="1"/>
      <c r="J39" s="108"/>
      <c r="K39" s="108"/>
      <c r="L39" s="109"/>
      <c r="M39" s="110"/>
      <c r="O39" s="107"/>
      <c r="P39" s="106"/>
    </row>
    <row r="40" spans="2:20">
      <c r="C40" s="111"/>
      <c r="D40" s="112" t="s">
        <v>14</v>
      </c>
      <c r="E40" s="113">
        <f>P71</f>
        <v>0.49747685185185186</v>
      </c>
      <c r="F40" s="114" t="s">
        <v>10</v>
      </c>
      <c r="G40" s="115">
        <f>T71</f>
        <v>0.62241876650918104</v>
      </c>
      <c r="H40" s="116"/>
      <c r="I40" s="117"/>
      <c r="J40" s="25" t="s">
        <v>27</v>
      </c>
      <c r="K40" s="26">
        <f>K32+K36</f>
        <v>339.50452940915733</v>
      </c>
      <c r="L40" s="34">
        <f>ABS(ROUNDDOWN(K40,0))</f>
        <v>339</v>
      </c>
      <c r="M40" s="32">
        <f>(ABS(K40)-L40)*60</f>
        <v>30.271764549439695</v>
      </c>
      <c r="O40" s="74"/>
      <c r="P40" s="74"/>
    </row>
    <row r="41" spans="2:20" ht="17" thickBot="1">
      <c r="C41" s="118"/>
      <c r="D41" s="119"/>
      <c r="E41" s="120"/>
      <c r="F41" s="121"/>
      <c r="G41" s="122"/>
      <c r="H41" s="123"/>
      <c r="I41" s="74"/>
      <c r="J41" s="24" t="s">
        <v>11</v>
      </c>
      <c r="K41" s="124">
        <f>M32+M36</f>
        <v>18.255959614808713</v>
      </c>
      <c r="L41" s="35">
        <f>ABS(ROUNDDOWN(K41,0))</f>
        <v>18</v>
      </c>
      <c r="M41" s="33">
        <f>(ABS(K41)-L41)*60</f>
        <v>15.357576888522786</v>
      </c>
      <c r="O41" s="74"/>
      <c r="P41" s="74"/>
    </row>
    <row r="42" spans="2:20">
      <c r="C42" s="125"/>
      <c r="D42" s="126"/>
      <c r="E42" s="127"/>
      <c r="F42" s="126"/>
      <c r="G42" s="128"/>
      <c r="H42" s="129"/>
      <c r="I42" s="74"/>
      <c r="J42" s="74"/>
      <c r="K42" s="74"/>
      <c r="L42" s="74"/>
      <c r="M42" s="130"/>
      <c r="N42" s="74"/>
      <c r="O42" s="131"/>
      <c r="P42" s="132"/>
    </row>
    <row r="43" spans="2:20">
      <c r="I43" s="74"/>
      <c r="J43" s="74"/>
      <c r="K43" s="74"/>
      <c r="L43" s="74"/>
      <c r="M43" s="130"/>
      <c r="N43" s="74"/>
      <c r="O43" s="131"/>
      <c r="P43" s="132"/>
    </row>
    <row r="44" spans="2:20" ht="20" thickBot="1">
      <c r="B44" s="133" t="s">
        <v>27</v>
      </c>
      <c r="C44" s="133"/>
      <c r="D44" s="134" t="s">
        <v>36</v>
      </c>
      <c r="E44" s="135">
        <v>36526</v>
      </c>
      <c r="F44" s="136"/>
      <c r="G44" s="133"/>
      <c r="H44" s="133"/>
      <c r="I44" s="137"/>
      <c r="J44" s="137"/>
      <c r="K44" s="137"/>
      <c r="L44" s="137"/>
      <c r="M44" s="137"/>
      <c r="N44" s="137"/>
      <c r="O44" s="138"/>
      <c r="P44" s="137"/>
      <c r="Q44" s="137"/>
      <c r="R44" s="139" t="s">
        <v>11</v>
      </c>
      <c r="S44" s="140"/>
      <c r="T44" s="140"/>
    </row>
    <row r="45" spans="2:20" ht="19" thickBot="1">
      <c r="B45" s="141" t="s">
        <v>6</v>
      </c>
      <c r="C45" s="142" t="s">
        <v>4</v>
      </c>
      <c r="D45" s="143" t="s">
        <v>0</v>
      </c>
      <c r="E45" s="144" t="s">
        <v>0</v>
      </c>
      <c r="F45" s="144" t="s">
        <v>1</v>
      </c>
      <c r="G45" s="145" t="s">
        <v>26</v>
      </c>
      <c r="H45" s="146"/>
      <c r="I45" s="147"/>
      <c r="J45" s="148" t="s">
        <v>16</v>
      </c>
      <c r="K45" s="149" t="s">
        <v>15</v>
      </c>
      <c r="L45" s="150" t="s">
        <v>17</v>
      </c>
      <c r="M45" s="151" t="s">
        <v>19</v>
      </c>
      <c r="N45" s="142" t="s">
        <v>2</v>
      </c>
      <c r="O45" s="142" t="s">
        <v>5</v>
      </c>
      <c r="P45" s="152" t="s">
        <v>27</v>
      </c>
      <c r="R45" s="153" t="s">
        <v>3</v>
      </c>
      <c r="S45" s="154" t="s">
        <v>11</v>
      </c>
      <c r="T45" s="155" t="s">
        <v>18</v>
      </c>
    </row>
    <row r="46" spans="2:20">
      <c r="B46" s="156">
        <v>0</v>
      </c>
      <c r="C46" s="157">
        <f t="shared" ref="C46:C70" si="1">_xlfn.DAYS($E$9,$E$44)-0.5+B46/24</f>
        <v>9262.5</v>
      </c>
      <c r="D46" s="158">
        <f>0.0167089-(0.000042/36525)*C46</f>
        <v>1.669824907597536E-2</v>
      </c>
      <c r="E46" s="159">
        <f>23+26/60+21/3600-(46.82/3600/36525)*C46</f>
        <v>23.435868543235227</v>
      </c>
      <c r="F46" s="160">
        <f>282.94+(1.7192/36525)*C46</f>
        <v>283.37597782340862</v>
      </c>
      <c r="G46" s="161">
        <f>280.4656+(36000.769/36525)*C46</f>
        <v>9410.0240630390144</v>
      </c>
      <c r="H46" s="162"/>
      <c r="I46" s="163"/>
      <c r="J46" s="164">
        <f t="shared" ref="J46:J70" si="2">RADIANS((G46-F46)-360*INT((G46-F46)/360))</f>
        <v>2.2104260783586693</v>
      </c>
      <c r="K46" s="164">
        <f t="shared" ref="K46:K70" si="3">RADIANS(E46)</f>
        <v>0.40903306914402177</v>
      </c>
      <c r="L46" s="164">
        <f t="shared" ref="L46:L70" si="4">RADIANS(G46-360*INT(G46/360))</f>
        <v>0.87308460525600251</v>
      </c>
      <c r="M46" s="157">
        <f t="shared" ref="M46:M70" si="5">RADIANS((G46+N46)-360*INT((G46+N46)/360))</f>
        <v>0.89954621002726198</v>
      </c>
      <c r="N46" s="164">
        <f t="shared" ref="N46:N70" si="6">DEGREES((2*D46-D46^3/4+5*D46^5/96)*SIN(J46)+(5*D46^2/4-11*D46^4/24)*SIN(2*J46)+(13*D46^3/12-43*D46^5/64)*SIN(3*J46)+SIN(4*J46)*103*D46^4/96+1097*D46^5*SIN(5*J46)/960)</f>
        <v>1.5161382725367796</v>
      </c>
      <c r="O46" s="157">
        <f>DEGREES(ATAN((TAN(L46)-TAN(M46)*COS(K46))/(1+TAN(L46)*TAN(M46)*COS(K46))))</f>
        <v>0.90702258556577819</v>
      </c>
      <c r="P46" s="165">
        <f t="shared" ref="P46:P70" si="7">IF((15*(B46+12)+O46)&gt;360,15*(B46-12)+O46,15*(B46+12)+O46)</f>
        <v>180.90702258556578</v>
      </c>
      <c r="R46" s="166">
        <f t="shared" ref="R46:R70" si="8">DEGREES(IF(COS(M46)&gt;0,ATAN(COS(RADIANS(E46))*TAN(M46)),PI()+ATAN(COS(RADIANS(E46))*TAN(M46))))</f>
        <v>49.117040453448659</v>
      </c>
      <c r="S46" s="167">
        <f t="shared" ref="S46:S70" si="9">DEGREES(ASIN(SIN(RADIANS(E46))*SIN(M46)))</f>
        <v>18.14569519430199</v>
      </c>
      <c r="T46" s="168"/>
    </row>
    <row r="47" spans="2:20">
      <c r="B47" s="169">
        <f t="shared" ref="B47:B70" si="10">1+B46</f>
        <v>1</v>
      </c>
      <c r="C47" s="170">
        <f t="shared" si="1"/>
        <v>9262.5416666666661</v>
      </c>
      <c r="D47" s="171">
        <f t="shared" ref="D47:D69" si="11">0.0167089-(0.000042/36525)*C47</f>
        <v>1.669824902806297E-2</v>
      </c>
      <c r="E47" s="172">
        <f t="shared" ref="E47:E69" si="12">23+26/60+21/3600-(46.82/3600/36525)*C47</f>
        <v>23.435868528398863</v>
      </c>
      <c r="F47" s="173">
        <f t="shared" ref="F47:F69" si="13">282.94+(1.7192/36525)*C47</f>
        <v>283.37597978462242</v>
      </c>
      <c r="G47" s="174">
        <f t="shared" ref="G47:G69" si="14">280.4656+(36000.769/36525)*C47</f>
        <v>9410.0651316780732</v>
      </c>
      <c r="H47" s="175"/>
      <c r="I47" s="176"/>
      <c r="J47" s="177">
        <f t="shared" si="2"/>
        <v>2.2111428270999087</v>
      </c>
      <c r="K47" s="177">
        <f t="shared" si="3"/>
        <v>0.4090330688850784</v>
      </c>
      <c r="L47" s="177">
        <f t="shared" si="4"/>
        <v>0.87380138822689035</v>
      </c>
      <c r="M47" s="170">
        <f t="shared" si="5"/>
        <v>0.90024856538508657</v>
      </c>
      <c r="N47" s="177">
        <f t="shared" si="6"/>
        <v>1.515311631200154</v>
      </c>
      <c r="O47" s="170">
        <f t="shared" ref="O47:O69" si="15">DEGREES(ATAN((TAN(L47)-TAN(M47)*COS(K47))/(1+TAN(L47)*TAN(M47)*COS(K47))))</f>
        <v>0.90720071512096168</v>
      </c>
      <c r="P47" s="178">
        <f t="shared" si="7"/>
        <v>195.90720071512095</v>
      </c>
      <c r="R47" s="166">
        <f t="shared" si="8"/>
        <v>49.157930962952193</v>
      </c>
      <c r="S47" s="167">
        <f t="shared" si="9"/>
        <v>18.156166485511179</v>
      </c>
      <c r="T47" s="179">
        <f t="shared" ref="T47:T68" si="16">(S47-S46)*60</f>
        <v>0.62827747255134625</v>
      </c>
    </row>
    <row r="48" spans="2:20">
      <c r="B48" s="169">
        <f t="shared" si="10"/>
        <v>2</v>
      </c>
      <c r="C48" s="170">
        <f t="shared" si="1"/>
        <v>9262.5833333333339</v>
      </c>
      <c r="D48" s="171">
        <f t="shared" si="11"/>
        <v>1.6698248980150581E-2</v>
      </c>
      <c r="E48" s="172">
        <f t="shared" si="12"/>
        <v>23.4358685135625</v>
      </c>
      <c r="F48" s="173">
        <f t="shared" si="13"/>
        <v>283.37598174583616</v>
      </c>
      <c r="G48" s="174">
        <f t="shared" si="14"/>
        <v>9410.1062003171355</v>
      </c>
      <c r="H48" s="175"/>
      <c r="I48" s="176"/>
      <c r="J48" s="177">
        <f t="shared" si="2"/>
        <v>2.211859575841244</v>
      </c>
      <c r="K48" s="177">
        <f t="shared" si="3"/>
        <v>0.40903306862613498</v>
      </c>
      <c r="L48" s="177">
        <f t="shared" si="4"/>
        <v>0.8745181711978417</v>
      </c>
      <c r="M48" s="170">
        <f t="shared" si="5"/>
        <v>0.90095090766360453</v>
      </c>
      <c r="N48" s="177">
        <f t="shared" si="6"/>
        <v>1.514484240470626</v>
      </c>
      <c r="O48" s="170">
        <f t="shared" si="15"/>
        <v>0.90737470662238295</v>
      </c>
      <c r="P48" s="178">
        <f t="shared" si="7"/>
        <v>210.90737470662239</v>
      </c>
      <c r="R48" s="166">
        <f t="shared" si="8"/>
        <v>49.198825610513133</v>
      </c>
      <c r="S48" s="167">
        <f t="shared" si="9"/>
        <v>18.166628940175109</v>
      </c>
      <c r="T48" s="179">
        <f t="shared" si="16"/>
        <v>0.62774727983580192</v>
      </c>
    </row>
    <row r="49" spans="2:20">
      <c r="B49" s="169">
        <f t="shared" si="10"/>
        <v>3</v>
      </c>
      <c r="C49" s="170">
        <f t="shared" si="1"/>
        <v>9262.625</v>
      </c>
      <c r="D49" s="171">
        <f t="shared" si="11"/>
        <v>1.6698248932238192E-2</v>
      </c>
      <c r="E49" s="172">
        <f t="shared" si="12"/>
        <v>23.435868498726137</v>
      </c>
      <c r="F49" s="173">
        <f t="shared" si="13"/>
        <v>283.37598370704995</v>
      </c>
      <c r="G49" s="174">
        <f t="shared" si="14"/>
        <v>9410.1472689561942</v>
      </c>
      <c r="H49" s="175"/>
      <c r="I49" s="176"/>
      <c r="J49" s="177">
        <f t="shared" si="2"/>
        <v>2.2125763245824839</v>
      </c>
      <c r="K49" s="177">
        <f t="shared" si="3"/>
        <v>0.40903306836719161</v>
      </c>
      <c r="L49" s="177">
        <f t="shared" si="4"/>
        <v>0.87523495416872954</v>
      </c>
      <c r="M49" s="170">
        <f t="shared" si="5"/>
        <v>0.90165323687030807</v>
      </c>
      <c r="N49" s="177">
        <f t="shared" si="6"/>
        <v>1.5136561007837541</v>
      </c>
      <c r="O49" s="170">
        <f t="shared" si="15"/>
        <v>0.90754456034054576</v>
      </c>
      <c r="P49" s="178">
        <f t="shared" si="7"/>
        <v>225.90754456034054</v>
      </c>
      <c r="R49" s="166">
        <f t="shared" si="8"/>
        <v>49.239724395853692</v>
      </c>
      <c r="S49" s="167">
        <f t="shared" si="9"/>
        <v>18.177082552522659</v>
      </c>
      <c r="T49" s="179">
        <f t="shared" si="16"/>
        <v>0.62721674085302936</v>
      </c>
    </row>
    <row r="50" spans="2:20">
      <c r="B50" s="169">
        <f t="shared" si="10"/>
        <v>4</v>
      </c>
      <c r="C50" s="170">
        <f t="shared" si="1"/>
        <v>9262.6666666666661</v>
      </c>
      <c r="D50" s="171">
        <f t="shared" si="11"/>
        <v>1.6698248884325802E-2</v>
      </c>
      <c r="E50" s="172">
        <f t="shared" si="12"/>
        <v>23.435868483889774</v>
      </c>
      <c r="F50" s="173">
        <f t="shared" si="13"/>
        <v>283.37598566826375</v>
      </c>
      <c r="G50" s="174">
        <f t="shared" si="14"/>
        <v>9410.1883375952548</v>
      </c>
      <c r="H50" s="175"/>
      <c r="I50" s="176"/>
      <c r="J50" s="177">
        <f t="shared" si="2"/>
        <v>2.2132930733237552</v>
      </c>
      <c r="K50" s="177">
        <f t="shared" si="3"/>
        <v>0.40903306810824819</v>
      </c>
      <c r="L50" s="177">
        <f t="shared" si="4"/>
        <v>0.87595173713964913</v>
      </c>
      <c r="M50" s="170">
        <f t="shared" si="5"/>
        <v>0.90235555301284842</v>
      </c>
      <c r="N50" s="177">
        <f t="shared" si="6"/>
        <v>1.512827212575055</v>
      </c>
      <c r="O50" s="170">
        <f t="shared" si="15"/>
        <v>0.90771027655961289</v>
      </c>
      <c r="P50" s="178">
        <f t="shared" si="7"/>
        <v>240.90771027655961</v>
      </c>
      <c r="R50" s="166">
        <f t="shared" si="8"/>
        <v>49.280627318695174</v>
      </c>
      <c r="S50" s="167">
        <f t="shared" si="9"/>
        <v>18.187527316787953</v>
      </c>
      <c r="T50" s="179">
        <f t="shared" si="16"/>
        <v>0.62668585591765691</v>
      </c>
    </row>
    <row r="51" spans="2:20">
      <c r="B51" s="169">
        <f t="shared" si="10"/>
        <v>5</v>
      </c>
      <c r="C51" s="170">
        <f t="shared" si="1"/>
        <v>9262.7083333333339</v>
      </c>
      <c r="D51" s="171">
        <f t="shared" si="11"/>
        <v>1.6698248836413413E-2</v>
      </c>
      <c r="E51" s="172">
        <f t="shared" si="12"/>
        <v>23.43586846905341</v>
      </c>
      <c r="F51" s="173">
        <f t="shared" si="13"/>
        <v>283.37598762947755</v>
      </c>
      <c r="G51" s="174">
        <f t="shared" si="14"/>
        <v>9410.2294062343153</v>
      </c>
      <c r="H51" s="175"/>
      <c r="I51" s="176"/>
      <c r="J51" s="177">
        <f t="shared" si="2"/>
        <v>2.2140098220650586</v>
      </c>
      <c r="K51" s="177">
        <f t="shared" si="3"/>
        <v>0.40903306784930482</v>
      </c>
      <c r="L51" s="177">
        <f t="shared" si="4"/>
        <v>0.87666852011056873</v>
      </c>
      <c r="M51" s="170">
        <f t="shared" si="5"/>
        <v>0.90305785609884481</v>
      </c>
      <c r="N51" s="177">
        <f t="shared" si="6"/>
        <v>1.5119975762805185</v>
      </c>
      <c r="O51" s="170">
        <f t="shared" si="15"/>
        <v>0.90787185556846517</v>
      </c>
      <c r="P51" s="178">
        <f t="shared" si="7"/>
        <v>255.90787185556846</v>
      </c>
      <c r="R51" s="166">
        <f t="shared" si="8"/>
        <v>49.321534378746854</v>
      </c>
      <c r="S51" s="167">
        <f t="shared" si="9"/>
        <v>18.197963227207591</v>
      </c>
      <c r="T51" s="179">
        <f t="shared" si="16"/>
        <v>0.62615462517825904</v>
      </c>
    </row>
    <row r="52" spans="2:20">
      <c r="B52" s="169">
        <f t="shared" si="10"/>
        <v>6</v>
      </c>
      <c r="C52" s="170">
        <f t="shared" si="1"/>
        <v>9262.75</v>
      </c>
      <c r="D52" s="171">
        <f t="shared" si="11"/>
        <v>1.6698248788501024E-2</v>
      </c>
      <c r="E52" s="172">
        <f t="shared" si="12"/>
        <v>23.435868454217051</v>
      </c>
      <c r="F52" s="173">
        <f t="shared" si="13"/>
        <v>283.37598959069129</v>
      </c>
      <c r="G52" s="174">
        <f t="shared" si="14"/>
        <v>9410.270474873374</v>
      </c>
      <c r="H52" s="175"/>
      <c r="I52" s="176"/>
      <c r="J52" s="177">
        <f t="shared" si="2"/>
        <v>2.2147265708062984</v>
      </c>
      <c r="K52" s="177">
        <f t="shared" si="3"/>
        <v>0.40903306759036151</v>
      </c>
      <c r="L52" s="177">
        <f t="shared" si="4"/>
        <v>0.87738530308145657</v>
      </c>
      <c r="M52" s="170">
        <f t="shared" si="5"/>
        <v>0.90376014613585332</v>
      </c>
      <c r="N52" s="177">
        <f t="shared" si="6"/>
        <v>1.5111671923365706</v>
      </c>
      <c r="O52" s="170">
        <f t="shared" si="15"/>
        <v>0.90802929766980256</v>
      </c>
      <c r="P52" s="178">
        <f t="shared" si="7"/>
        <v>270.90802929766983</v>
      </c>
      <c r="R52" s="166">
        <f t="shared" si="8"/>
        <v>49.362445575704243</v>
      </c>
      <c r="S52" s="167">
        <f t="shared" si="9"/>
        <v>18.208390278020143</v>
      </c>
      <c r="T52" s="179">
        <f t="shared" si="16"/>
        <v>0.62562304875314112</v>
      </c>
    </row>
    <row r="53" spans="2:20">
      <c r="B53" s="169">
        <f t="shared" si="10"/>
        <v>7</v>
      </c>
      <c r="C53" s="170">
        <f t="shared" si="1"/>
        <v>9262.7916666666661</v>
      </c>
      <c r="D53" s="171">
        <f t="shared" si="11"/>
        <v>1.6698248740588638E-2</v>
      </c>
      <c r="E53" s="172">
        <f t="shared" si="12"/>
        <v>23.435868439380688</v>
      </c>
      <c r="F53" s="173">
        <f t="shared" si="13"/>
        <v>283.37599155190509</v>
      </c>
      <c r="G53" s="174">
        <f t="shared" si="14"/>
        <v>9410.3115435124346</v>
      </c>
      <c r="H53" s="175"/>
      <c r="I53" s="176"/>
      <c r="J53" s="177">
        <f t="shared" si="2"/>
        <v>2.2154433195475702</v>
      </c>
      <c r="K53" s="177">
        <f t="shared" si="3"/>
        <v>0.40903306733141809</v>
      </c>
      <c r="L53" s="177">
        <f t="shared" si="4"/>
        <v>0.87810208605237616</v>
      </c>
      <c r="M53" s="170">
        <f t="shared" si="5"/>
        <v>0.90446242313155667</v>
      </c>
      <c r="N53" s="177">
        <f t="shared" si="6"/>
        <v>1.5103360611797418</v>
      </c>
      <c r="O53" s="170">
        <f t="shared" si="15"/>
        <v>0.90818260317456745</v>
      </c>
      <c r="P53" s="178">
        <f t="shared" si="7"/>
        <v>285.90818260317457</v>
      </c>
      <c r="R53" s="166">
        <f t="shared" si="8"/>
        <v>49.403360909260016</v>
      </c>
      <c r="S53" s="167">
        <f t="shared" si="9"/>
        <v>18.218808463468974</v>
      </c>
      <c r="T53" s="179">
        <f t="shared" si="16"/>
        <v>0.6250911269298598</v>
      </c>
    </row>
    <row r="54" spans="2:20">
      <c r="B54" s="169">
        <f t="shared" si="10"/>
        <v>8</v>
      </c>
      <c r="C54" s="170">
        <f t="shared" si="1"/>
        <v>9262.8333333333339</v>
      </c>
      <c r="D54" s="171">
        <f t="shared" si="11"/>
        <v>1.6698248692676249E-2</v>
      </c>
      <c r="E54" s="172">
        <f t="shared" si="12"/>
        <v>23.435868424544324</v>
      </c>
      <c r="F54" s="173">
        <f t="shared" si="13"/>
        <v>283.37599351311889</v>
      </c>
      <c r="G54" s="174">
        <f t="shared" si="14"/>
        <v>9410.3526121514951</v>
      </c>
      <c r="H54" s="175"/>
      <c r="I54" s="176"/>
      <c r="J54" s="177">
        <f t="shared" si="2"/>
        <v>2.2161600682888731</v>
      </c>
      <c r="K54" s="177">
        <f t="shared" si="3"/>
        <v>0.40903306707247472</v>
      </c>
      <c r="L54" s="177">
        <f t="shared" si="4"/>
        <v>0.87881886902329576</v>
      </c>
      <c r="M54" s="170">
        <f t="shared" si="5"/>
        <v>0.90516468709357434</v>
      </c>
      <c r="N54" s="177">
        <f t="shared" si="6"/>
        <v>1.5095041832469984</v>
      </c>
      <c r="O54" s="170">
        <f t="shared" si="15"/>
        <v>0.90833177240208307</v>
      </c>
      <c r="P54" s="178">
        <f t="shared" si="7"/>
        <v>300.90833177240211</v>
      </c>
      <c r="R54" s="166">
        <f t="shared" si="8"/>
        <v>49.444280379093044</v>
      </c>
      <c r="S54" s="167">
        <f t="shared" si="9"/>
        <v>18.229217777799494</v>
      </c>
      <c r="T54" s="179">
        <f t="shared" si="16"/>
        <v>0.62455885983119686</v>
      </c>
    </row>
    <row r="55" spans="2:20">
      <c r="B55" s="169">
        <f t="shared" si="10"/>
        <v>9</v>
      </c>
      <c r="C55" s="170">
        <f t="shared" si="1"/>
        <v>9262.875</v>
      </c>
      <c r="D55" s="171">
        <f t="shared" si="11"/>
        <v>1.6698248644763859E-2</v>
      </c>
      <c r="E55" s="172">
        <f t="shared" si="12"/>
        <v>23.435868409707961</v>
      </c>
      <c r="F55" s="173">
        <f t="shared" si="13"/>
        <v>283.37599547433263</v>
      </c>
      <c r="G55" s="174">
        <f t="shared" si="14"/>
        <v>9410.3936807905538</v>
      </c>
      <c r="H55" s="175"/>
      <c r="I55" s="176"/>
      <c r="J55" s="177">
        <f t="shared" si="2"/>
        <v>2.216876817030113</v>
      </c>
      <c r="K55" s="177">
        <f t="shared" si="3"/>
        <v>0.40903306681353135</v>
      </c>
      <c r="L55" s="177">
        <f t="shared" si="4"/>
        <v>0.8795356519941836</v>
      </c>
      <c r="M55" s="170">
        <f t="shared" si="5"/>
        <v>0.90586693802949381</v>
      </c>
      <c r="N55" s="177">
        <f t="shared" si="6"/>
        <v>1.5086715589757409</v>
      </c>
      <c r="O55" s="170">
        <f t="shared" si="15"/>
        <v>0.90847680568371458</v>
      </c>
      <c r="P55" s="178">
        <f t="shared" si="7"/>
        <v>315.90847680568373</v>
      </c>
      <c r="R55" s="166">
        <f t="shared" si="8"/>
        <v>49.485203984870132</v>
      </c>
      <c r="S55" s="167">
        <f t="shared" si="9"/>
        <v>18.239618215259558</v>
      </c>
      <c r="T55" s="179">
        <f t="shared" si="16"/>
        <v>0.62402624760380832</v>
      </c>
    </row>
    <row r="56" spans="2:20">
      <c r="B56" s="180">
        <f t="shared" si="10"/>
        <v>10</v>
      </c>
      <c r="C56" s="181">
        <f t="shared" si="1"/>
        <v>9262.9166666666661</v>
      </c>
      <c r="D56" s="182">
        <f t="shared" si="11"/>
        <v>1.669824859685147E-2</v>
      </c>
      <c r="E56" s="183">
        <f t="shared" si="12"/>
        <v>23.435868394871598</v>
      </c>
      <c r="F56" s="184">
        <f t="shared" si="13"/>
        <v>283.37599743554642</v>
      </c>
      <c r="G56" s="185">
        <f t="shared" si="14"/>
        <v>9410.4347494296144</v>
      </c>
      <c r="H56" s="186"/>
      <c r="I56" s="187"/>
      <c r="J56" s="188">
        <f t="shared" si="2"/>
        <v>2.2175935657713848</v>
      </c>
      <c r="K56" s="188">
        <f t="shared" si="3"/>
        <v>0.40903306655458793</v>
      </c>
      <c r="L56" s="188">
        <f t="shared" si="4"/>
        <v>0.88025243496510308</v>
      </c>
      <c r="M56" s="181">
        <f t="shared" si="5"/>
        <v>0.90656917594702968</v>
      </c>
      <c r="N56" s="188">
        <f t="shared" si="6"/>
        <v>1.5078381888034762</v>
      </c>
      <c r="O56" s="181">
        <f t="shared" si="15"/>
        <v>0.9086177033590076</v>
      </c>
      <c r="P56" s="189">
        <f t="shared" si="7"/>
        <v>330.90861770335903</v>
      </c>
      <c r="R56" s="166">
        <f t="shared" si="8"/>
        <v>49.526131726255372</v>
      </c>
      <c r="S56" s="167">
        <f t="shared" si="9"/>
        <v>18.250009770101844</v>
      </c>
      <c r="T56" s="179">
        <f t="shared" si="16"/>
        <v>0.62349329053716929</v>
      </c>
    </row>
    <row r="57" spans="2:20">
      <c r="B57" s="169">
        <f t="shared" si="10"/>
        <v>11</v>
      </c>
      <c r="C57" s="170">
        <f t="shared" si="1"/>
        <v>9262.9583333333339</v>
      </c>
      <c r="D57" s="171">
        <f t="shared" si="11"/>
        <v>1.6698248548939081E-2</v>
      </c>
      <c r="E57" s="172">
        <f t="shared" si="12"/>
        <v>23.435868380035235</v>
      </c>
      <c r="F57" s="173">
        <f t="shared" si="13"/>
        <v>283.37599939676022</v>
      </c>
      <c r="G57" s="174">
        <f t="shared" si="14"/>
        <v>9410.4758180686749</v>
      </c>
      <c r="H57" s="175"/>
      <c r="I57" s="176"/>
      <c r="J57" s="177">
        <f t="shared" si="2"/>
        <v>2.2183103145126881</v>
      </c>
      <c r="K57" s="177">
        <f t="shared" si="3"/>
        <v>0.40903306629564457</v>
      </c>
      <c r="L57" s="177">
        <f t="shared" si="4"/>
        <v>0.88096921793602267</v>
      </c>
      <c r="M57" s="170">
        <f t="shared" si="5"/>
        <v>0.90727140085376967</v>
      </c>
      <c r="N57" s="177">
        <f t="shared" si="6"/>
        <v>1.5070040731681442</v>
      </c>
      <c r="O57" s="170">
        <f t="shared" si="15"/>
        <v>0.90875446577966901</v>
      </c>
      <c r="P57" s="178">
        <f t="shared" si="7"/>
        <v>345.90875446577968</v>
      </c>
      <c r="R57" s="166">
        <f t="shared" si="8"/>
        <v>49.56706360289526</v>
      </c>
      <c r="S57" s="167">
        <f t="shared" si="9"/>
        <v>18.260392436580144</v>
      </c>
      <c r="T57" s="179">
        <f t="shared" si="16"/>
        <v>0.62295998869799973</v>
      </c>
    </row>
    <row r="58" spans="2:20">
      <c r="B58" s="169">
        <f t="shared" si="10"/>
        <v>12</v>
      </c>
      <c r="C58" s="170">
        <f t="shared" si="1"/>
        <v>9263</v>
      </c>
      <c r="D58" s="171">
        <f t="shared" si="11"/>
        <v>1.6698248501026691E-2</v>
      </c>
      <c r="E58" s="172">
        <f t="shared" si="12"/>
        <v>23.435868365198871</v>
      </c>
      <c r="F58" s="173">
        <f t="shared" si="13"/>
        <v>283.37600135797396</v>
      </c>
      <c r="G58" s="174">
        <f t="shared" si="14"/>
        <v>9410.5168867077336</v>
      </c>
      <c r="H58" s="175"/>
      <c r="I58" s="176"/>
      <c r="J58" s="177">
        <f t="shared" si="2"/>
        <v>2.219027063253928</v>
      </c>
      <c r="K58" s="177">
        <f t="shared" si="3"/>
        <v>0.40903306603670114</v>
      </c>
      <c r="L58" s="177">
        <f t="shared" si="4"/>
        <v>0.88168600090691052</v>
      </c>
      <c r="M58" s="170">
        <f t="shared" si="5"/>
        <v>0.90797361275733313</v>
      </c>
      <c r="N58" s="177">
        <f t="shared" si="6"/>
        <v>1.5061692125081203</v>
      </c>
      <c r="O58" s="170">
        <f t="shared" si="15"/>
        <v>0.9088870933056844</v>
      </c>
      <c r="P58" s="178">
        <f t="shared" si="7"/>
        <v>0.9088870933056844</v>
      </c>
      <c r="R58" s="166">
        <f t="shared" si="8"/>
        <v>49.60799961442796</v>
      </c>
      <c r="S58" s="167">
        <f t="shared" si="9"/>
        <v>18.270766208951652</v>
      </c>
      <c r="T58" s="179">
        <f t="shared" si="16"/>
        <v>0.62242634229050964</v>
      </c>
    </row>
    <row r="59" spans="2:20">
      <c r="B59" s="169">
        <f t="shared" si="10"/>
        <v>13</v>
      </c>
      <c r="C59" s="170">
        <f t="shared" si="1"/>
        <v>9263.0416666666661</v>
      </c>
      <c r="D59" s="171">
        <f t="shared" si="11"/>
        <v>1.6698248453114305E-2</v>
      </c>
      <c r="E59" s="172">
        <f t="shared" si="12"/>
        <v>23.435868350362512</v>
      </c>
      <c r="F59" s="173">
        <f t="shared" si="13"/>
        <v>283.37600331918776</v>
      </c>
      <c r="G59" s="174">
        <f t="shared" si="14"/>
        <v>9410.5579553467942</v>
      </c>
      <c r="H59" s="175"/>
      <c r="I59" s="176"/>
      <c r="J59" s="177">
        <f t="shared" si="2"/>
        <v>2.2197438119951993</v>
      </c>
      <c r="K59" s="177">
        <f t="shared" si="3"/>
        <v>0.40903306577775783</v>
      </c>
      <c r="L59" s="177">
        <f t="shared" si="4"/>
        <v>0.88240278387783011</v>
      </c>
      <c r="M59" s="170">
        <f t="shared" si="5"/>
        <v>0.9086758116654664</v>
      </c>
      <c r="N59" s="177">
        <f t="shared" si="6"/>
        <v>1.5053336072618835</v>
      </c>
      <c r="O59" s="170">
        <f t="shared" si="15"/>
        <v>0.90901558630531076</v>
      </c>
      <c r="P59" s="178">
        <f t="shared" si="7"/>
        <v>15.90901558630531</v>
      </c>
      <c r="R59" s="166">
        <f t="shared" si="8"/>
        <v>49.648939760488872</v>
      </c>
      <c r="S59" s="167">
        <f t="shared" si="9"/>
        <v>18.281131081478438</v>
      </c>
      <c r="T59" s="179">
        <f t="shared" si="16"/>
        <v>0.62189235160715839</v>
      </c>
    </row>
    <row r="60" spans="2:20">
      <c r="B60" s="169">
        <f t="shared" si="10"/>
        <v>14</v>
      </c>
      <c r="C60" s="170">
        <f t="shared" si="1"/>
        <v>9263.0833333333339</v>
      </c>
      <c r="D60" s="171">
        <f t="shared" si="11"/>
        <v>1.6698248405201916E-2</v>
      </c>
      <c r="E60" s="172">
        <f t="shared" si="12"/>
        <v>23.435868335526148</v>
      </c>
      <c r="F60" s="173">
        <f t="shared" si="13"/>
        <v>283.37600528040156</v>
      </c>
      <c r="G60" s="174">
        <f t="shared" si="14"/>
        <v>9410.5990239858547</v>
      </c>
      <c r="H60" s="175"/>
      <c r="I60" s="176"/>
      <c r="J60" s="177">
        <f t="shared" si="2"/>
        <v>2.2204605607365027</v>
      </c>
      <c r="K60" s="177">
        <f t="shared" si="3"/>
        <v>0.40903306551881446</v>
      </c>
      <c r="L60" s="177">
        <f t="shared" si="4"/>
        <v>0.8831195668487497</v>
      </c>
      <c r="M60" s="170">
        <f t="shared" si="5"/>
        <v>0.90937799758578874</v>
      </c>
      <c r="N60" s="177">
        <f t="shared" si="6"/>
        <v>1.5044972578683442</v>
      </c>
      <c r="O60" s="170">
        <f t="shared" si="15"/>
        <v>0.90913994515892016</v>
      </c>
      <c r="P60" s="178">
        <f t="shared" si="7"/>
        <v>30.90913994515892</v>
      </c>
      <c r="R60" s="166">
        <f t="shared" si="8"/>
        <v>49.689884040695809</v>
      </c>
      <c r="S60" s="167">
        <f t="shared" si="9"/>
        <v>18.291487048423654</v>
      </c>
      <c r="T60" s="179">
        <f t="shared" si="16"/>
        <v>0.62135801671296065</v>
      </c>
    </row>
    <row r="61" spans="2:20">
      <c r="B61" s="169">
        <f t="shared" si="10"/>
        <v>15</v>
      </c>
      <c r="C61" s="170">
        <f t="shared" si="1"/>
        <v>9263.125</v>
      </c>
      <c r="D61" s="171">
        <f t="shared" si="11"/>
        <v>1.6698248357289527E-2</v>
      </c>
      <c r="E61" s="172">
        <f t="shared" si="12"/>
        <v>23.435868320689785</v>
      </c>
      <c r="F61" s="173">
        <f t="shared" si="13"/>
        <v>283.37600724161535</v>
      </c>
      <c r="G61" s="174">
        <f t="shared" si="14"/>
        <v>9410.6400926249153</v>
      </c>
      <c r="H61" s="175"/>
      <c r="I61" s="176"/>
      <c r="J61" s="177">
        <f t="shared" si="2"/>
        <v>2.2211773094777745</v>
      </c>
      <c r="K61" s="177">
        <f t="shared" si="3"/>
        <v>0.40903306525987104</v>
      </c>
      <c r="L61" s="177">
        <f t="shared" si="4"/>
        <v>0.8838363498196693</v>
      </c>
      <c r="M61" s="170">
        <f t="shared" si="5"/>
        <v>0.91008017052591972</v>
      </c>
      <c r="N61" s="177">
        <f t="shared" si="6"/>
        <v>1.5036601647668135</v>
      </c>
      <c r="O61" s="170">
        <f t="shared" si="15"/>
        <v>0.90926017025886796</v>
      </c>
      <c r="P61" s="178">
        <f t="shared" si="7"/>
        <v>45.909260170258868</v>
      </c>
      <c r="R61" s="166">
        <f t="shared" si="8"/>
        <v>49.730832454656401</v>
      </c>
      <c r="S61" s="167">
        <f t="shared" si="9"/>
        <v>18.301834104053455</v>
      </c>
      <c r="T61" s="179">
        <f t="shared" si="16"/>
        <v>0.620823337788039</v>
      </c>
    </row>
    <row r="62" spans="2:20">
      <c r="B62" s="169">
        <f t="shared" si="10"/>
        <v>16</v>
      </c>
      <c r="C62" s="170">
        <f t="shared" si="1"/>
        <v>9263.1666666666661</v>
      </c>
      <c r="D62" s="171">
        <f t="shared" si="11"/>
        <v>1.6698248309377137E-2</v>
      </c>
      <c r="E62" s="172">
        <f t="shared" si="12"/>
        <v>23.435868305853422</v>
      </c>
      <c r="F62" s="173">
        <f t="shared" si="13"/>
        <v>283.3760092028291</v>
      </c>
      <c r="G62" s="174">
        <f t="shared" si="14"/>
        <v>9410.681161263974</v>
      </c>
      <c r="H62" s="175"/>
      <c r="I62" s="176"/>
      <c r="J62" s="177">
        <f t="shared" si="2"/>
        <v>2.2218940582190139</v>
      </c>
      <c r="K62" s="177">
        <f t="shared" si="3"/>
        <v>0.40903306500092768</v>
      </c>
      <c r="L62" s="177">
        <f t="shared" si="4"/>
        <v>0.88455313279055714</v>
      </c>
      <c r="M62" s="170">
        <f t="shared" si="5"/>
        <v>0.91078233049357382</v>
      </c>
      <c r="N62" s="177">
        <f t="shared" si="6"/>
        <v>1.5028223283968511</v>
      </c>
      <c r="O62" s="170">
        <f t="shared" si="15"/>
        <v>0.90937626200037003</v>
      </c>
      <c r="P62" s="178">
        <f t="shared" si="7"/>
        <v>60.909376262000372</v>
      </c>
      <c r="R62" s="166">
        <f t="shared" si="8"/>
        <v>49.771785001973619</v>
      </c>
      <c r="S62" s="167">
        <f t="shared" si="9"/>
        <v>18.312172242638383</v>
      </c>
      <c r="T62" s="179">
        <f t="shared" si="16"/>
        <v>0.62028831509564952</v>
      </c>
    </row>
    <row r="63" spans="2:20">
      <c r="B63" s="169">
        <f t="shared" si="10"/>
        <v>17</v>
      </c>
      <c r="C63" s="170">
        <f t="shared" si="1"/>
        <v>9263.2083333333339</v>
      </c>
      <c r="D63" s="171">
        <f t="shared" si="11"/>
        <v>1.6698248261464748E-2</v>
      </c>
      <c r="E63" s="172">
        <f t="shared" si="12"/>
        <v>23.435868291017059</v>
      </c>
      <c r="F63" s="173">
        <f t="shared" si="13"/>
        <v>283.37601116404289</v>
      </c>
      <c r="G63" s="174">
        <f t="shared" si="14"/>
        <v>9410.7222299030345</v>
      </c>
      <c r="H63" s="175"/>
      <c r="I63" s="176"/>
      <c r="J63" s="177">
        <f t="shared" si="2"/>
        <v>2.2226108069603172</v>
      </c>
      <c r="K63" s="177">
        <f t="shared" si="3"/>
        <v>0.40903306474198431</v>
      </c>
      <c r="L63" s="177">
        <f t="shared" si="4"/>
        <v>0.88526991576147673</v>
      </c>
      <c r="M63" s="170">
        <f t="shared" si="5"/>
        <v>0.91148447749643391</v>
      </c>
      <c r="N63" s="177">
        <f t="shared" si="6"/>
        <v>1.5019837491982284</v>
      </c>
      <c r="O63" s="170">
        <f t="shared" si="15"/>
        <v>0.90948822079611258</v>
      </c>
      <c r="P63" s="178">
        <f t="shared" si="7"/>
        <v>75.909488220796106</v>
      </c>
      <c r="R63" s="166">
        <f t="shared" si="8"/>
        <v>49.812741682238418</v>
      </c>
      <c r="S63" s="167">
        <f t="shared" si="9"/>
        <v>18.322501458451509</v>
      </c>
      <c r="T63" s="179">
        <f t="shared" si="16"/>
        <v>0.61975294878756415</v>
      </c>
    </row>
    <row r="64" spans="2:20">
      <c r="B64" s="169">
        <f t="shared" si="10"/>
        <v>18</v>
      </c>
      <c r="C64" s="170">
        <f t="shared" si="1"/>
        <v>9263.25</v>
      </c>
      <c r="D64" s="171">
        <f t="shared" si="11"/>
        <v>1.6698248213552359E-2</v>
      </c>
      <c r="E64" s="172">
        <f t="shared" si="12"/>
        <v>23.435868276180695</v>
      </c>
      <c r="F64" s="173">
        <f t="shared" si="13"/>
        <v>283.37601312525669</v>
      </c>
      <c r="G64" s="174">
        <f t="shared" si="14"/>
        <v>9410.7632985420951</v>
      </c>
      <c r="H64" s="175"/>
      <c r="I64" s="176"/>
      <c r="J64" s="177">
        <f t="shared" si="2"/>
        <v>2.223327555701589</v>
      </c>
      <c r="K64" s="177">
        <f t="shared" si="3"/>
        <v>0.40903306448304089</v>
      </c>
      <c r="L64" s="177">
        <f t="shared" si="4"/>
        <v>0.88598669873239633</v>
      </c>
      <c r="M64" s="170">
        <f t="shared" si="5"/>
        <v>0.91218661154218283</v>
      </c>
      <c r="N64" s="177">
        <f t="shared" si="6"/>
        <v>1.5011444276112604</v>
      </c>
      <c r="O64" s="170">
        <f t="shared" si="15"/>
        <v>0.90959604706354591</v>
      </c>
      <c r="P64" s="178">
        <f t="shared" si="7"/>
        <v>90.909596047063545</v>
      </c>
      <c r="R64" s="166">
        <f t="shared" si="8"/>
        <v>49.853702495031527</v>
      </c>
      <c r="S64" s="167">
        <f t="shared" si="9"/>
        <v>18.332821745768914</v>
      </c>
      <c r="T64" s="179">
        <f t="shared" si="16"/>
        <v>0.61921723904433179</v>
      </c>
    </row>
    <row r="65" spans="2:20">
      <c r="B65" s="169">
        <f t="shared" si="10"/>
        <v>19</v>
      </c>
      <c r="C65" s="170">
        <f t="shared" si="1"/>
        <v>9263.2916666666661</v>
      </c>
      <c r="D65" s="171">
        <f t="shared" si="11"/>
        <v>1.6698248165639973E-2</v>
      </c>
      <c r="E65" s="172">
        <f t="shared" si="12"/>
        <v>23.435868261344336</v>
      </c>
      <c r="F65" s="173">
        <f t="shared" si="13"/>
        <v>283.37601508647043</v>
      </c>
      <c r="G65" s="174">
        <f t="shared" si="14"/>
        <v>9410.8043671811538</v>
      </c>
      <c r="H65" s="175"/>
      <c r="I65" s="176"/>
      <c r="J65" s="177">
        <f t="shared" si="2"/>
        <v>2.2240443044428289</v>
      </c>
      <c r="K65" s="177">
        <f t="shared" si="3"/>
        <v>0.40903306422409758</v>
      </c>
      <c r="L65" s="177">
        <f t="shared" si="4"/>
        <v>0.88670348170328417</v>
      </c>
      <c r="M65" s="170">
        <f t="shared" si="5"/>
        <v>0.9128887326384717</v>
      </c>
      <c r="N65" s="177">
        <f t="shared" si="6"/>
        <v>1.5003043640764773</v>
      </c>
      <c r="O65" s="170">
        <f t="shared" si="15"/>
        <v>0.90969974123215813</v>
      </c>
      <c r="P65" s="178">
        <f t="shared" si="7"/>
        <v>105.90969974123216</v>
      </c>
      <c r="R65" s="166">
        <f t="shared" si="8"/>
        <v>49.894667439921633</v>
      </c>
      <c r="S65" s="167">
        <f t="shared" si="9"/>
        <v>18.343133098869242</v>
      </c>
      <c r="T65" s="179">
        <f t="shared" si="16"/>
        <v>0.61868118601964284</v>
      </c>
    </row>
    <row r="66" spans="2:20">
      <c r="B66" s="169">
        <f t="shared" si="10"/>
        <v>20</v>
      </c>
      <c r="C66" s="170">
        <f t="shared" si="1"/>
        <v>9263.3333333333339</v>
      </c>
      <c r="D66" s="171">
        <f t="shared" si="11"/>
        <v>1.6698248117727583E-2</v>
      </c>
      <c r="E66" s="172">
        <f t="shared" si="12"/>
        <v>23.435868246507972</v>
      </c>
      <c r="F66" s="173">
        <f t="shared" si="13"/>
        <v>283.37601704768423</v>
      </c>
      <c r="G66" s="174">
        <f t="shared" si="14"/>
        <v>9410.8454358202143</v>
      </c>
      <c r="H66" s="175"/>
      <c r="I66" s="176"/>
      <c r="J66" s="177">
        <f t="shared" si="2"/>
        <v>2.2247610531841322</v>
      </c>
      <c r="K66" s="177">
        <f t="shared" si="3"/>
        <v>0.40903306396515421</v>
      </c>
      <c r="L66" s="177">
        <f t="shared" si="4"/>
        <v>0.88742026467420376</v>
      </c>
      <c r="M66" s="170">
        <f t="shared" si="5"/>
        <v>0.91359084079301511</v>
      </c>
      <c r="N66" s="177">
        <f t="shared" si="6"/>
        <v>1.4994635590346161</v>
      </c>
      <c r="O66" s="170">
        <f t="shared" si="15"/>
        <v>0.90979930374340423</v>
      </c>
      <c r="P66" s="178">
        <f t="shared" si="7"/>
        <v>120.9097993037434</v>
      </c>
      <c r="R66" s="166">
        <f t="shared" si="8"/>
        <v>49.935636516470929</v>
      </c>
      <c r="S66" s="167">
        <f t="shared" si="9"/>
        <v>18.353435512035059</v>
      </c>
      <c r="T66" s="179">
        <f t="shared" si="16"/>
        <v>0.61814478994904221</v>
      </c>
    </row>
    <row r="67" spans="2:20">
      <c r="B67" s="169">
        <f t="shared" si="10"/>
        <v>21</v>
      </c>
      <c r="C67" s="170">
        <f t="shared" si="1"/>
        <v>9263.375</v>
      </c>
      <c r="D67" s="171">
        <f t="shared" si="11"/>
        <v>1.6698248069815194E-2</v>
      </c>
      <c r="E67" s="172">
        <f t="shared" si="12"/>
        <v>23.435868231671609</v>
      </c>
      <c r="F67" s="173">
        <f t="shared" si="13"/>
        <v>283.37601900889803</v>
      </c>
      <c r="G67" s="174">
        <f t="shared" si="14"/>
        <v>9410.8865044592749</v>
      </c>
      <c r="H67" s="175"/>
      <c r="I67" s="176"/>
      <c r="J67" s="177">
        <f t="shared" si="2"/>
        <v>2.2254778019254036</v>
      </c>
      <c r="K67" s="177">
        <f t="shared" si="3"/>
        <v>0.40903306370621079</v>
      </c>
      <c r="L67" s="177">
        <f t="shared" si="4"/>
        <v>0.88813704764512336</v>
      </c>
      <c r="M67" s="170">
        <f t="shared" si="5"/>
        <v>0.91429293601355954</v>
      </c>
      <c r="N67" s="177">
        <f t="shared" si="6"/>
        <v>1.4986220129269616</v>
      </c>
      <c r="O67" s="170">
        <f t="shared" si="15"/>
        <v>0.90989473504163676</v>
      </c>
      <c r="P67" s="178">
        <f t="shared" si="7"/>
        <v>135.90989473504163</v>
      </c>
      <c r="R67" s="166">
        <f t="shared" si="8"/>
        <v>49.976609724233235</v>
      </c>
      <c r="S67" s="167">
        <f t="shared" si="9"/>
        <v>18.363728979552437</v>
      </c>
      <c r="T67" s="179">
        <f t="shared" si="16"/>
        <v>0.61760805104270844</v>
      </c>
    </row>
    <row r="68" spans="2:20">
      <c r="B68" s="169">
        <f t="shared" si="10"/>
        <v>22</v>
      </c>
      <c r="C68" s="170">
        <f t="shared" si="1"/>
        <v>9263.4166666666661</v>
      </c>
      <c r="D68" s="171">
        <f t="shared" si="11"/>
        <v>1.6698248021902805E-2</v>
      </c>
      <c r="E68" s="172">
        <f t="shared" si="12"/>
        <v>23.435868216835246</v>
      </c>
      <c r="F68" s="173">
        <f t="shared" si="13"/>
        <v>283.37602097011177</v>
      </c>
      <c r="G68" s="174">
        <f t="shared" si="14"/>
        <v>9410.9275730983336</v>
      </c>
      <c r="H68" s="175"/>
      <c r="I68" s="176"/>
      <c r="J68" s="177">
        <f t="shared" si="2"/>
        <v>2.2261945506666434</v>
      </c>
      <c r="K68" s="177">
        <f t="shared" si="3"/>
        <v>0.40903306344726742</v>
      </c>
      <c r="L68" s="177">
        <f t="shared" si="4"/>
        <v>0.8888538306160112</v>
      </c>
      <c r="M68" s="170">
        <f t="shared" si="5"/>
        <v>0.91499501830772423</v>
      </c>
      <c r="N68" s="177">
        <f t="shared" si="6"/>
        <v>1.4977797261950081</v>
      </c>
      <c r="O68" s="170">
        <f t="shared" si="15"/>
        <v>0.90998603558885061</v>
      </c>
      <c r="P68" s="178">
        <f t="shared" si="7"/>
        <v>150.90998603558884</v>
      </c>
      <c r="R68" s="166">
        <f t="shared" si="8"/>
        <v>50.017587062744745</v>
      </c>
      <c r="S68" s="167">
        <f t="shared" si="9"/>
        <v>18.374013495708631</v>
      </c>
      <c r="T68" s="179">
        <f t="shared" si="16"/>
        <v>0.61707096937162476</v>
      </c>
    </row>
    <row r="69" spans="2:20">
      <c r="B69" s="169">
        <f t="shared" si="10"/>
        <v>23</v>
      </c>
      <c r="C69" s="170">
        <f t="shared" si="1"/>
        <v>9263.4583333333339</v>
      </c>
      <c r="D69" s="171">
        <f t="shared" si="11"/>
        <v>1.6698247973990415E-2</v>
      </c>
      <c r="E69" s="172">
        <f t="shared" si="12"/>
        <v>23.435868201998883</v>
      </c>
      <c r="F69" s="173">
        <f t="shared" si="13"/>
        <v>283.37602293132556</v>
      </c>
      <c r="G69" s="174">
        <f t="shared" si="14"/>
        <v>9410.968641737396</v>
      </c>
      <c r="H69" s="175"/>
      <c r="I69" s="176"/>
      <c r="J69" s="177">
        <f t="shared" si="2"/>
        <v>2.2269112994079783</v>
      </c>
      <c r="K69" s="177">
        <f t="shared" si="3"/>
        <v>0.40903306318832405</v>
      </c>
      <c r="L69" s="177">
        <f t="shared" si="4"/>
        <v>0.88957061358696243</v>
      </c>
      <c r="M69" s="170">
        <f t="shared" si="5"/>
        <v>0.91569708768335079</v>
      </c>
      <c r="N69" s="177">
        <f t="shared" si="6"/>
        <v>1.4969366992804214</v>
      </c>
      <c r="O69" s="170">
        <f t="shared" si="15"/>
        <v>0.9100732058515304</v>
      </c>
      <c r="P69" s="178">
        <f t="shared" si="7"/>
        <v>165.91007320585152</v>
      </c>
      <c r="R69" s="166">
        <f t="shared" si="8"/>
        <v>50.058568531544424</v>
      </c>
      <c r="S69" s="167">
        <f t="shared" si="9"/>
        <v>18.384289054797176</v>
      </c>
      <c r="T69" s="179">
        <f>(S69-S68)*60</f>
        <v>0.61653354531266302</v>
      </c>
    </row>
    <row r="70" spans="2:20" ht="17" thickBot="1">
      <c r="B70" s="190">
        <f t="shared" si="10"/>
        <v>24</v>
      </c>
      <c r="C70" s="191">
        <f t="shared" si="1"/>
        <v>9263.5</v>
      </c>
      <c r="D70" s="192">
        <f t="shared" ref="D70" si="17">0.0167089-(0.000042/36525)*C70</f>
        <v>1.6698247926078026E-2</v>
      </c>
      <c r="E70" s="193">
        <f t="shared" ref="E70" si="18">23+26/60+21/3600-(46.82/3600/36525)*C70</f>
        <v>23.435868187162519</v>
      </c>
      <c r="F70" s="194">
        <f t="shared" ref="F70" si="19">282.94+(1.7192/36525)*C70</f>
        <v>283.37602489253936</v>
      </c>
      <c r="G70" s="195">
        <f t="shared" ref="G70" si="20">280.4656+(36000.769/36525)*C70</f>
        <v>9411.0097103764547</v>
      </c>
      <c r="H70" s="196"/>
      <c r="I70" s="197"/>
      <c r="J70" s="198">
        <f t="shared" si="2"/>
        <v>2.2276280481492181</v>
      </c>
      <c r="K70" s="198">
        <f t="shared" si="3"/>
        <v>0.40903306292938063</v>
      </c>
      <c r="L70" s="198">
        <f t="shared" si="4"/>
        <v>0.89028739655785027</v>
      </c>
      <c r="M70" s="191">
        <f t="shared" si="5"/>
        <v>0.91639914414799517</v>
      </c>
      <c r="N70" s="198">
        <f t="shared" si="6"/>
        <v>1.4960929326255634</v>
      </c>
      <c r="O70" s="191">
        <f t="shared" ref="O70" si="21">DEGREES(ATAN((TAN(L70)-TAN(M70)*COS(K70))/(1+TAN(L70)*TAN(M70)*COS(K70))))</f>
        <v>0.91015624631037118</v>
      </c>
      <c r="P70" s="199">
        <f t="shared" si="7"/>
        <v>180.91015624631038</v>
      </c>
      <c r="R70" s="200">
        <f t="shared" si="8"/>
        <v>50.099554130144305</v>
      </c>
      <c r="S70" s="201">
        <f t="shared" si="9"/>
        <v>18.394555651110455</v>
      </c>
      <c r="T70" s="202">
        <f>(S70-S69)*60</f>
        <v>0.61599577879675849</v>
      </c>
    </row>
    <row r="71" spans="2:20" ht="17" thickBot="1">
      <c r="B71" s="203"/>
      <c r="C71" s="204"/>
      <c r="D71" s="204"/>
      <c r="E71" s="205"/>
      <c r="F71" s="204"/>
      <c r="G71" s="204"/>
      <c r="H71" s="204"/>
      <c r="I71" s="204"/>
      <c r="J71" s="206"/>
      <c r="K71" s="207" t="s">
        <v>13</v>
      </c>
      <c r="L71" s="208">
        <v>0.5</v>
      </c>
      <c r="M71" s="209">
        <f>ABS(ROUNDDOWN(O58*4,0))</f>
        <v>3</v>
      </c>
      <c r="N71" s="210">
        <f>60*(ABS(O58*4)-ABS(ROUNDDOWN(O58*4,0)))</f>
        <v>38.132902393364255</v>
      </c>
      <c r="O71" s="211">
        <f>TIME(0,M71,N71)</f>
        <v>2.5231481481481481E-3</v>
      </c>
      <c r="P71" s="212">
        <f>L71-O71</f>
        <v>0.49747685185185186</v>
      </c>
      <c r="R71" s="213"/>
      <c r="S71" s="214" t="s">
        <v>30</v>
      </c>
      <c r="T71" s="215">
        <f>AVERAGE(T47:T69)</f>
        <v>0.62241876650918104</v>
      </c>
    </row>
    <row r="72" spans="2:20">
      <c r="C72" s="216"/>
      <c r="D72" s="217"/>
    </row>
    <row r="73" spans="2:20">
      <c r="B73" s="218"/>
    </row>
    <row r="74" spans="2:20">
      <c r="B74" s="218"/>
      <c r="C74" s="219"/>
      <c r="D74" s="220"/>
    </row>
    <row r="75" spans="2:20">
      <c r="B75" s="218"/>
      <c r="C75" s="219"/>
      <c r="D75" s="220"/>
    </row>
    <row r="76" spans="2:20">
      <c r="B76" s="218"/>
      <c r="C76" s="219"/>
      <c r="D76" s="220"/>
    </row>
    <row r="77" spans="2:20">
      <c r="B77" s="218"/>
      <c r="C77" s="219"/>
      <c r="D77" s="220"/>
      <c r="N77" s="221"/>
      <c r="O77" s="221"/>
    </row>
    <row r="78" spans="2:20">
      <c r="B78" s="218"/>
      <c r="C78" s="219"/>
      <c r="D78" s="220"/>
    </row>
    <row r="79" spans="2:20">
      <c r="B79" s="218"/>
      <c r="C79" s="219"/>
      <c r="D79" s="220"/>
    </row>
    <row r="80" spans="2:20">
      <c r="B80" s="218"/>
      <c r="C80" s="219"/>
      <c r="D80" s="220"/>
    </row>
    <row r="81" spans="2:4">
      <c r="B81" s="218"/>
      <c r="C81" s="219"/>
      <c r="D81" s="220"/>
    </row>
    <row r="82" spans="2:4">
      <c r="B82" s="218"/>
      <c r="C82" s="219"/>
      <c r="D82" s="220"/>
    </row>
    <row r="83" spans="2:4">
      <c r="B83" s="218"/>
      <c r="C83" s="219"/>
      <c r="D83" s="220"/>
    </row>
    <row r="84" spans="2:4">
      <c r="B84" s="218"/>
      <c r="C84" s="219"/>
      <c r="D84" s="220"/>
    </row>
    <row r="85" spans="2:4">
      <c r="B85" s="218"/>
      <c r="C85" s="219"/>
      <c r="D85" s="220"/>
    </row>
    <row r="86" spans="2:4">
      <c r="B86" s="218"/>
      <c r="C86" s="219"/>
      <c r="D86" s="220"/>
    </row>
    <row r="87" spans="2:4">
      <c r="B87" s="218"/>
      <c r="C87" s="219"/>
      <c r="D87" s="220"/>
    </row>
    <row r="88" spans="2:4">
      <c r="B88" s="218"/>
      <c r="C88" s="219"/>
      <c r="D88" s="220"/>
    </row>
    <row r="89" spans="2:4">
      <c r="B89" s="218"/>
      <c r="C89" s="219"/>
      <c r="D89" s="220"/>
    </row>
    <row r="90" spans="2:4">
      <c r="B90" s="218"/>
      <c r="C90" s="219"/>
      <c r="D90" s="220"/>
    </row>
    <row r="91" spans="2:4">
      <c r="B91" s="218"/>
      <c r="C91" s="219"/>
      <c r="D91" s="220"/>
    </row>
    <row r="92" spans="2:4">
      <c r="B92" s="218"/>
      <c r="C92" s="219"/>
      <c r="D92" s="220"/>
    </row>
    <row r="93" spans="2:4">
      <c r="B93" s="218"/>
      <c r="C93" s="219"/>
      <c r="D93" s="220"/>
    </row>
    <row r="94" spans="2:4">
      <c r="B94" s="218"/>
      <c r="C94" s="219"/>
      <c r="D94" s="220"/>
    </row>
    <row r="95" spans="2:4">
      <c r="B95" s="218"/>
      <c r="C95" s="219"/>
      <c r="D95" s="220"/>
    </row>
    <row r="96" spans="2:4">
      <c r="B96" s="218"/>
      <c r="C96" s="219"/>
      <c r="D96" s="220"/>
    </row>
    <row r="97" spans="3:8">
      <c r="C97" s="219"/>
      <c r="D97" s="220"/>
    </row>
    <row r="99" spans="3:8">
      <c r="D99" s="219"/>
      <c r="E99" s="219"/>
      <c r="F99" s="219"/>
      <c r="G99" s="219"/>
      <c r="H99" s="219"/>
    </row>
    <row r="103" spans="3:8">
      <c r="D103" s="219"/>
      <c r="E103" s="220"/>
    </row>
  </sheetData>
  <sheetProtection algorithmName="SHA-512" hashValue="fFM2It9By2z3U4wMnkzsct3bHM/+kE15nhAPz/bTC9LviEqgYBNtW8Nli4yqCgBjFLX/C8sz20piz4g5eIdbKQ==" saltValue="hKWeRAzJNKGlbIwHfxAsLg==" spinCount="100000" sheet="1" objects="1" scenarios="1" selectLockedCells="1"/>
  <mergeCells count="13">
    <mergeCell ref="E5:E6"/>
    <mergeCell ref="C5:D6"/>
    <mergeCell ref="E9:F9"/>
    <mergeCell ref="R44:T44"/>
    <mergeCell ref="H40:H41"/>
    <mergeCell ref="D10:E10"/>
    <mergeCell ref="F10:G10"/>
    <mergeCell ref="C40:C41"/>
    <mergeCell ref="G40:G41"/>
    <mergeCell ref="F40:F41"/>
    <mergeCell ref="E40:E41"/>
    <mergeCell ref="D40:D41"/>
    <mergeCell ref="C10:C1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E3C1-215C-034D-962F-10AE00DCA8A2}">
  <dimension ref="C2:H35"/>
  <sheetViews>
    <sheetView showGridLines="0" showRowColHeaders="0" workbookViewId="0">
      <selection activeCell="M10" sqref="M10"/>
    </sheetView>
  </sheetViews>
  <sheetFormatPr baseColWidth="10" defaultRowHeight="16"/>
  <cols>
    <col min="3" max="3" width="10.83203125" customWidth="1"/>
    <col min="8" max="8" width="8.5" customWidth="1"/>
  </cols>
  <sheetData>
    <row r="2" spans="3:8" ht="17" thickBot="1"/>
    <row r="3" spans="3:8" s="8" customFormat="1" ht="23" customHeight="1">
      <c r="C3" s="37">
        <f>'Sun Almanac'!C9</f>
        <v>131</v>
      </c>
      <c r="D3" s="38" t="s">
        <v>28</v>
      </c>
      <c r="E3" s="45">
        <f>'Sun Almanac'!E9</f>
        <v>45789</v>
      </c>
      <c r="F3" s="45"/>
      <c r="G3" s="40" t="s">
        <v>34</v>
      </c>
      <c r="H3" s="41">
        <f>'Sun Almanac'!H9</f>
        <v>1</v>
      </c>
    </row>
    <row r="4" spans="3:8" s="8" customFormat="1" ht="23" customHeight="1">
      <c r="C4" s="48" t="s">
        <v>7</v>
      </c>
      <c r="D4" s="46" t="s">
        <v>27</v>
      </c>
      <c r="E4" s="46"/>
      <c r="F4" s="47" t="s">
        <v>23</v>
      </c>
      <c r="G4" s="47"/>
      <c r="H4" s="39"/>
    </row>
    <row r="5" spans="3:8" s="8" customFormat="1" ht="23" customHeight="1">
      <c r="C5" s="49"/>
      <c r="D5" s="42" t="str">
        <f>'Sun Almanac'!D11</f>
        <v>°</v>
      </c>
      <c r="E5" s="43" t="str">
        <f>'Sun Almanac'!E11</f>
        <v xml:space="preserve"> '</v>
      </c>
      <c r="F5" s="42" t="str">
        <f>'Sun Almanac'!F11</f>
        <v>°</v>
      </c>
      <c r="G5" s="43" t="str">
        <f>'Sun Almanac'!G11</f>
        <v xml:space="preserve"> '</v>
      </c>
      <c r="H5" s="44"/>
    </row>
    <row r="6" spans="3:8" s="8" customFormat="1" ht="23" customHeight="1">
      <c r="C6" s="9">
        <f>'Sun Almanac'!C12</f>
        <v>0</v>
      </c>
      <c r="D6" s="14">
        <f>'Sun Almanac'!D12</f>
        <v>180</v>
      </c>
      <c r="E6" s="10">
        <f>'Sun Almanac'!E12</f>
        <v>54.421355133947031</v>
      </c>
      <c r="F6" s="13">
        <f>'Sun Almanac'!F12</f>
        <v>18</v>
      </c>
      <c r="G6" s="16">
        <f>'Sun Almanac'!G12</f>
        <v>8.741711658119371</v>
      </c>
      <c r="H6" s="15" t="str">
        <f>'Sun Almanac'!H12</f>
        <v>N</v>
      </c>
    </row>
    <row r="7" spans="3:8" s="8" customFormat="1" ht="23" customHeight="1">
      <c r="C7" s="9">
        <f>'Sun Almanac'!C13</f>
        <v>1</v>
      </c>
      <c r="D7" s="14">
        <f>'Sun Almanac'!D13</f>
        <v>195</v>
      </c>
      <c r="E7" s="10">
        <f>'Sun Almanac'!E13</f>
        <v>54.432042907257028</v>
      </c>
      <c r="F7" s="13">
        <f>'Sun Almanac'!F13</f>
        <v>18</v>
      </c>
      <c r="G7" s="16">
        <f>'Sun Almanac'!G13</f>
        <v>9.3699891306707173</v>
      </c>
      <c r="H7" s="15" t="str">
        <f>'Sun Almanac'!H13</f>
        <v>N</v>
      </c>
    </row>
    <row r="8" spans="3:8" s="8" customFormat="1" ht="23" customHeight="1">
      <c r="C8" s="9">
        <f>'Sun Almanac'!C14</f>
        <v>2</v>
      </c>
      <c r="D8" s="14">
        <f>'Sun Almanac'!D14</f>
        <v>210</v>
      </c>
      <c r="E8" s="10">
        <f>'Sun Almanac'!E14</f>
        <v>54.442482397343497</v>
      </c>
      <c r="F8" s="13">
        <f>'Sun Almanac'!F14</f>
        <v>18</v>
      </c>
      <c r="G8" s="16">
        <f>'Sun Almanac'!G14</f>
        <v>9.9977364105065192</v>
      </c>
      <c r="H8" s="15" t="str">
        <f>'Sun Almanac'!H14</f>
        <v>N</v>
      </c>
    </row>
    <row r="9" spans="3:8" s="8" customFormat="1" ht="23" customHeight="1">
      <c r="C9" s="9">
        <f>'Sun Almanac'!C15</f>
        <v>3</v>
      </c>
      <c r="D9" s="14">
        <f>'Sun Almanac'!D15</f>
        <v>225</v>
      </c>
      <c r="E9" s="10">
        <f>'Sun Almanac'!E15</f>
        <v>54.452673620432392</v>
      </c>
      <c r="F9" s="13">
        <f>'Sun Almanac'!F15</f>
        <v>18</v>
      </c>
      <c r="G9" s="16">
        <f>'Sun Almanac'!G15</f>
        <v>10.624953151359549</v>
      </c>
      <c r="H9" s="15" t="str">
        <f>'Sun Almanac'!H15</f>
        <v>N</v>
      </c>
    </row>
    <row r="10" spans="3:8" s="8" customFormat="1" ht="23" customHeight="1">
      <c r="C10" s="9">
        <f>'Sun Almanac'!C16</f>
        <v>4</v>
      </c>
      <c r="D10" s="14">
        <f>'Sun Almanac'!D16</f>
        <v>240</v>
      </c>
      <c r="E10" s="10">
        <f>'Sun Almanac'!E16</f>
        <v>54.46261659357674</v>
      </c>
      <c r="F10" s="13">
        <f>'Sun Almanac'!F16</f>
        <v>18</v>
      </c>
      <c r="G10" s="16">
        <f>'Sun Almanac'!G16</f>
        <v>11.251639007277205</v>
      </c>
      <c r="H10" s="15" t="str">
        <f>'Sun Almanac'!H16</f>
        <v>N</v>
      </c>
    </row>
    <row r="11" spans="3:8" s="8" customFormat="1" ht="23" customHeight="1">
      <c r="C11" s="9"/>
      <c r="D11" s="14"/>
      <c r="E11" s="10"/>
      <c r="F11" s="13"/>
      <c r="G11" s="16"/>
      <c r="H11" s="15"/>
    </row>
    <row r="12" spans="3:8" s="8" customFormat="1" ht="23" customHeight="1">
      <c r="C12" s="9">
        <f>'Sun Almanac'!C18</f>
        <v>5</v>
      </c>
      <c r="D12" s="14">
        <f>'Sun Almanac'!D18</f>
        <v>255</v>
      </c>
      <c r="E12" s="10">
        <f>'Sun Almanac'!E18</f>
        <v>54.47231133410753</v>
      </c>
      <c r="F12" s="13">
        <f>'Sun Almanac'!F18</f>
        <v>18</v>
      </c>
      <c r="G12" s="16">
        <f>'Sun Almanac'!G18</f>
        <v>11.877793632455464</v>
      </c>
      <c r="H12" s="15" t="str">
        <f>'Sun Almanac'!H18</f>
        <v>N</v>
      </c>
    </row>
    <row r="13" spans="3:8" s="8" customFormat="1" ht="23" customHeight="1">
      <c r="C13" s="9">
        <f>'Sun Almanac'!C19</f>
        <v>6</v>
      </c>
      <c r="D13" s="14">
        <f>'Sun Almanac'!D19</f>
        <v>270</v>
      </c>
      <c r="E13" s="10">
        <f>'Sun Almanac'!E19</f>
        <v>54.481757860189646</v>
      </c>
      <c r="F13" s="13">
        <f>'Sun Almanac'!F19</f>
        <v>18</v>
      </c>
      <c r="G13" s="16">
        <f>'Sun Almanac'!G19</f>
        <v>12.503416681208606</v>
      </c>
      <c r="H13" s="15" t="str">
        <f>'Sun Almanac'!H19</f>
        <v>N</v>
      </c>
    </row>
    <row r="14" spans="3:8" s="8" customFormat="1" ht="23" customHeight="1">
      <c r="C14" s="9">
        <f>'Sun Almanac'!C20</f>
        <v>7</v>
      </c>
      <c r="D14" s="14">
        <f>'Sun Almanac'!D20</f>
        <v>285</v>
      </c>
      <c r="E14" s="10">
        <f>'Sun Almanac'!E20</f>
        <v>54.49095619047398</v>
      </c>
      <c r="F14" s="13">
        <f>'Sun Almanac'!F20</f>
        <v>18</v>
      </c>
      <c r="G14" s="16">
        <f>'Sun Almanac'!G20</f>
        <v>13.128507808138465</v>
      </c>
      <c r="H14" s="15" t="str">
        <f>'Sun Almanac'!H20</f>
        <v>N</v>
      </c>
    </row>
    <row r="15" spans="3:8" s="8" customFormat="1" ht="23" customHeight="1">
      <c r="C15" s="9">
        <f>'Sun Almanac'!C21</f>
        <v>8</v>
      </c>
      <c r="D15" s="14">
        <f>'Sun Almanac'!D21</f>
        <v>300</v>
      </c>
      <c r="E15" s="10">
        <f>'Sun Almanac'!E21</f>
        <v>54.49990634412643</v>
      </c>
      <c r="F15" s="13">
        <f>'Sun Almanac'!F21</f>
        <v>18</v>
      </c>
      <c r="G15" s="16">
        <f>'Sun Almanac'!G21</f>
        <v>13.753066667969662</v>
      </c>
      <c r="H15" s="15" t="str">
        <f>'Sun Almanac'!H21</f>
        <v>N</v>
      </c>
    </row>
    <row r="16" spans="3:8" s="8" customFormat="1" ht="23" customHeight="1">
      <c r="C16" s="9">
        <f>'Sun Almanac'!C22</f>
        <v>9</v>
      </c>
      <c r="D16" s="14">
        <f>'Sun Almanac'!D22</f>
        <v>315</v>
      </c>
      <c r="E16" s="10">
        <f>'Sun Almanac'!E22</f>
        <v>54.508608341024001</v>
      </c>
      <c r="F16" s="13">
        <f>'Sun Almanac'!F22</f>
        <v>18</v>
      </c>
      <c r="G16" s="16">
        <f>'Sun Almanac'!G22</f>
        <v>14.377092915573471</v>
      </c>
      <c r="H16" s="15" t="str">
        <f>'Sun Almanac'!H22</f>
        <v>N</v>
      </c>
    </row>
    <row r="17" spans="3:8" s="8" customFormat="1" ht="23" customHeight="1">
      <c r="C17" s="9"/>
      <c r="D17" s="14"/>
      <c r="E17" s="10"/>
      <c r="F17" s="13"/>
      <c r="G17" s="16"/>
      <c r="H17" s="15"/>
    </row>
    <row r="18" spans="3:8" s="8" customFormat="1" ht="23" customHeight="1">
      <c r="C18" s="9">
        <f>'Sun Almanac'!C24</f>
        <v>10</v>
      </c>
      <c r="D18" s="14">
        <f>'Sun Almanac'!D24</f>
        <v>330</v>
      </c>
      <c r="E18" s="10">
        <f>'Sun Almanac'!E24</f>
        <v>54.517062201541648</v>
      </c>
      <c r="F18" s="13">
        <f>'Sun Almanac'!F24</f>
        <v>18</v>
      </c>
      <c r="G18" s="16">
        <f>'Sun Almanac'!G24</f>
        <v>15.00058620611064</v>
      </c>
      <c r="H18" s="15" t="str">
        <f>'Sun Almanac'!H24</f>
        <v>N</v>
      </c>
    </row>
    <row r="19" spans="3:8" s="8" customFormat="1" ht="23" customHeight="1">
      <c r="C19" s="9">
        <f>'Sun Almanac'!C25</f>
        <v>11</v>
      </c>
      <c r="D19" s="14">
        <f>'Sun Almanac'!D25</f>
        <v>345</v>
      </c>
      <c r="E19" s="10">
        <f>'Sun Almanac'!E25</f>
        <v>54.525267946780787</v>
      </c>
      <c r="F19" s="13">
        <f>'Sun Almanac'!F25</f>
        <v>18</v>
      </c>
      <c r="G19" s="16">
        <f>'Sun Almanac'!G25</f>
        <v>15.62354619480864</v>
      </c>
      <c r="H19" s="15" t="str">
        <f>'Sun Almanac'!H25</f>
        <v>N</v>
      </c>
    </row>
    <row r="20" spans="3:8" s="8" customFormat="1" ht="23" customHeight="1">
      <c r="C20" s="9">
        <f>'Sun Almanac'!C26</f>
        <v>12</v>
      </c>
      <c r="D20" s="14">
        <f>'Sun Almanac'!D26</f>
        <v>0</v>
      </c>
      <c r="E20" s="10">
        <f>'Sun Almanac'!E26</f>
        <v>54.533225598341062</v>
      </c>
      <c r="F20" s="13">
        <f>'Sun Almanac'!F26</f>
        <v>18</v>
      </c>
      <c r="G20" s="16">
        <f>'Sun Almanac'!G26</f>
        <v>16.245972537099149</v>
      </c>
      <c r="H20" s="15" t="str">
        <f>'Sun Almanac'!H26</f>
        <v>N</v>
      </c>
    </row>
    <row r="21" spans="3:8" s="8" customFormat="1" ht="23" customHeight="1">
      <c r="C21" s="9">
        <f>'Sun Almanac'!C27</f>
        <v>13</v>
      </c>
      <c r="D21" s="14">
        <f>'Sun Almanac'!D27</f>
        <v>15</v>
      </c>
      <c r="E21" s="10">
        <f>'Sun Almanac'!E27</f>
        <v>54.540935178318612</v>
      </c>
      <c r="F21" s="13">
        <f>'Sun Almanac'!F27</f>
        <v>18</v>
      </c>
      <c r="G21" s="16">
        <f>'Sun Almanac'!G27</f>
        <v>16.867864888706308</v>
      </c>
      <c r="H21" s="15" t="str">
        <f>'Sun Almanac'!H27</f>
        <v>N</v>
      </c>
    </row>
    <row r="22" spans="3:8" s="8" customFormat="1" ht="23" customHeight="1">
      <c r="C22" s="9">
        <f>'Sun Almanac'!C28</f>
        <v>14</v>
      </c>
      <c r="D22" s="14">
        <f>'Sun Almanac'!D28</f>
        <v>30</v>
      </c>
      <c r="E22" s="10">
        <f>'Sun Almanac'!E28</f>
        <v>54.548396709535183</v>
      </c>
      <c r="F22" s="13">
        <f>'Sun Almanac'!F28</f>
        <v>18</v>
      </c>
      <c r="G22" s="16">
        <f>'Sun Almanac'!G28</f>
        <v>17.489222905419268</v>
      </c>
      <c r="H22" s="15" t="str">
        <f>'Sun Almanac'!H28</f>
        <v>N</v>
      </c>
    </row>
    <row r="23" spans="3:8" s="8" customFormat="1" ht="23" customHeight="1">
      <c r="C23" s="9"/>
      <c r="D23" s="14"/>
      <c r="E23" s="10"/>
      <c r="F23" s="13"/>
      <c r="G23" s="16"/>
      <c r="H23" s="15"/>
    </row>
    <row r="24" spans="3:8" s="8" customFormat="1" ht="23" customHeight="1">
      <c r="C24" s="9">
        <f>'Sun Almanac'!C30</f>
        <v>15</v>
      </c>
      <c r="D24" s="14">
        <f>'Sun Almanac'!D30</f>
        <v>45</v>
      </c>
      <c r="E24" s="10">
        <f>'Sun Almanac'!E30</f>
        <v>54.555610215532084</v>
      </c>
      <c r="F24" s="13">
        <f>'Sun Almanac'!F30</f>
        <v>18</v>
      </c>
      <c r="G24" s="16">
        <f>'Sun Almanac'!G30</f>
        <v>18.110046243207307</v>
      </c>
      <c r="H24" s="15" t="str">
        <f>'Sun Almanac'!H30</f>
        <v>N</v>
      </c>
    </row>
    <row r="25" spans="3:8" s="8" customFormat="1" ht="23" customHeight="1">
      <c r="C25" s="9">
        <f>'Sun Almanac'!C31</f>
        <v>16</v>
      </c>
      <c r="D25" s="14">
        <f>'Sun Almanac'!D31</f>
        <v>60</v>
      </c>
      <c r="E25" s="10">
        <f>'Sun Almanac'!E31</f>
        <v>54.562575720022295</v>
      </c>
      <c r="F25" s="13">
        <f>'Sun Almanac'!F31</f>
        <v>18</v>
      </c>
      <c r="G25" s="16">
        <f>'Sun Almanac'!G31</f>
        <v>18.730334558302957</v>
      </c>
      <c r="H25" s="15" t="str">
        <f>'Sun Almanac'!H31</f>
        <v>N</v>
      </c>
    </row>
    <row r="26" spans="3:8" s="8" customFormat="1" ht="23" customHeight="1">
      <c r="C26" s="9">
        <f>'Sun Almanac'!C32</f>
        <v>17</v>
      </c>
      <c r="D26" s="14">
        <f>'Sun Almanac'!D32</f>
        <v>75</v>
      </c>
      <c r="E26" s="10">
        <f>'Sun Almanac'!E32</f>
        <v>54.569293247766382</v>
      </c>
      <c r="F26" s="13">
        <f>'Sun Almanac'!F32</f>
        <v>18</v>
      </c>
      <c r="G26" s="16">
        <f>'Sun Almanac'!G32</f>
        <v>19.350087507090521</v>
      </c>
      <c r="H26" s="15" t="str">
        <f>'Sun Almanac'!H32</f>
        <v>N</v>
      </c>
    </row>
    <row r="27" spans="3:8" s="8" customFormat="1" ht="23" customHeight="1">
      <c r="C27" s="9">
        <f>'Sun Almanac'!C33</f>
        <v>18</v>
      </c>
      <c r="D27" s="14">
        <f>'Sun Almanac'!D33</f>
        <v>90</v>
      </c>
      <c r="E27" s="10">
        <f>'Sun Almanac'!E33</f>
        <v>54.575762823812681</v>
      </c>
      <c r="F27" s="13">
        <f>'Sun Almanac'!F33</f>
        <v>18</v>
      </c>
      <c r="G27" s="16">
        <f>'Sun Almanac'!G33</f>
        <v>19.969304746134853</v>
      </c>
      <c r="H27" s="15" t="str">
        <f>'Sun Almanac'!H33</f>
        <v>N</v>
      </c>
    </row>
    <row r="28" spans="3:8" s="8" customFormat="1" ht="23" customHeight="1">
      <c r="C28" s="9">
        <f>'Sun Almanac'!C34</f>
        <v>19</v>
      </c>
      <c r="D28" s="14">
        <f>'Sun Almanac'!D34</f>
        <v>105</v>
      </c>
      <c r="E28" s="10">
        <f>'Sun Almanac'!E34</f>
        <v>54.581984473929595</v>
      </c>
      <c r="F28" s="13">
        <f>'Sun Almanac'!F34</f>
        <v>18</v>
      </c>
      <c r="G28" s="16">
        <f>'Sun Almanac'!G34</f>
        <v>20.587985932154496</v>
      </c>
      <c r="H28" s="15" t="str">
        <f>'Sun Almanac'!H34</f>
        <v>N</v>
      </c>
    </row>
    <row r="29" spans="3:8" s="8" customFormat="1" ht="23" customHeight="1">
      <c r="C29" s="9"/>
      <c r="D29" s="14"/>
      <c r="E29" s="10"/>
      <c r="F29" s="13"/>
      <c r="G29" s="16"/>
      <c r="H29" s="15"/>
    </row>
    <row r="30" spans="3:8" s="8" customFormat="1" ht="23" customHeight="1">
      <c r="C30" s="9">
        <f>'Sun Almanac'!C36</f>
        <v>20</v>
      </c>
      <c r="D30" s="14">
        <f>'Sun Almanac'!D36</f>
        <v>120</v>
      </c>
      <c r="E30" s="10">
        <f>'Sun Almanac'!E36</f>
        <v>54.587958224603881</v>
      </c>
      <c r="F30" s="13">
        <f>'Sun Almanac'!F36</f>
        <v>18</v>
      </c>
      <c r="G30" s="16">
        <f>'Sun Almanac'!G36</f>
        <v>21.206130722103538</v>
      </c>
      <c r="H30" s="15" t="str">
        <f>'Sun Almanac'!H36</f>
        <v>N</v>
      </c>
    </row>
    <row r="31" spans="3:8" s="8" customFormat="1" ht="23" customHeight="1">
      <c r="C31" s="9">
        <f>'Sun Almanac'!C37</f>
        <v>21</v>
      </c>
      <c r="D31" s="14">
        <f>'Sun Almanac'!D37</f>
        <v>135</v>
      </c>
      <c r="E31" s="10">
        <f>'Sun Almanac'!E37</f>
        <v>54.593684102497946</v>
      </c>
      <c r="F31" s="13">
        <f>'Sun Almanac'!F37</f>
        <v>18</v>
      </c>
      <c r="G31" s="16">
        <f>'Sun Almanac'!G37</f>
        <v>21.823738773146246</v>
      </c>
      <c r="H31" s="15" t="str">
        <f>'Sun Almanac'!H37</f>
        <v>N</v>
      </c>
    </row>
    <row r="32" spans="3:8" s="8" customFormat="1" ht="23" customHeight="1">
      <c r="C32" s="9">
        <f>'Sun Almanac'!C38</f>
        <v>22</v>
      </c>
      <c r="D32" s="14">
        <f>'Sun Almanac'!D38</f>
        <v>150</v>
      </c>
      <c r="E32" s="10">
        <f>'Sun Almanac'!E38</f>
        <v>54.59916213533063</v>
      </c>
      <c r="F32" s="13">
        <f>'Sun Almanac'!F38</f>
        <v>18</v>
      </c>
      <c r="G32" s="16">
        <f>'Sun Almanac'!G38</f>
        <v>22.440809742517871</v>
      </c>
      <c r="H32" s="15" t="str">
        <f>'Sun Almanac'!H38</f>
        <v>N</v>
      </c>
    </row>
    <row r="33" spans="3:8" s="8" customFormat="1" ht="23" customHeight="1">
      <c r="C33" s="9">
        <f>'Sun Almanac'!C39</f>
        <v>23</v>
      </c>
      <c r="D33" s="14">
        <f>'Sun Almanac'!D39</f>
        <v>165</v>
      </c>
      <c r="E33" s="10">
        <f>'Sun Almanac'!E39</f>
        <v>54.604392351091064</v>
      </c>
      <c r="F33" s="13">
        <f>'Sun Almanac'!F39</f>
        <v>18</v>
      </c>
      <c r="G33" s="16">
        <f>'Sun Almanac'!G39</f>
        <v>23.057343287830534</v>
      </c>
      <c r="H33" s="15" t="str">
        <f>'Sun Almanac'!H39</f>
        <v>N</v>
      </c>
    </row>
    <row r="34" spans="3:8" s="8" customFormat="1" ht="23" customHeight="1">
      <c r="C34" s="11"/>
      <c r="D34" s="56" t="s">
        <v>4</v>
      </c>
      <c r="E34" s="54">
        <f>'Sun Almanac'!E40</f>
        <v>0.49747685185185186</v>
      </c>
      <c r="F34" s="52" t="s">
        <v>10</v>
      </c>
      <c r="G34" s="50">
        <f>'Sun Almanac'!G40</f>
        <v>0.62241876650918104</v>
      </c>
      <c r="H34" s="17"/>
    </row>
    <row r="35" spans="3:8" ht="23" customHeight="1" thickBot="1">
      <c r="C35" s="12"/>
      <c r="D35" s="57"/>
      <c r="E35" s="55"/>
      <c r="F35" s="53"/>
      <c r="G35" s="51"/>
      <c r="H35" s="18"/>
    </row>
  </sheetData>
  <sheetProtection algorithmName="SHA-512" hashValue="xgArGsAdtyqKYKn1NpSYPeKYCsWDXRxM3/nIAhJ/K8HJ06PQ6oyf4obI9YC2QwPUNvTMZ2Vgujmn7eEatKJJUg==" saltValue="vFh9HmhyYw2ODzcB+s9itg==" spinCount="100000" sheet="1" objects="1" scenarios="1" selectLockedCells="1" selectUnlockedCells="1"/>
  <mergeCells count="8">
    <mergeCell ref="E3:F3"/>
    <mergeCell ref="D4:E4"/>
    <mergeCell ref="F4:G4"/>
    <mergeCell ref="C4:C5"/>
    <mergeCell ref="G34:G35"/>
    <mergeCell ref="F34:F35"/>
    <mergeCell ref="E34:E35"/>
    <mergeCell ref="D34:D35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Sun Almanac</vt:lpstr>
      <vt:lpstr>Druckseite</vt:lpstr>
      <vt:lpstr>Druckseite!Druckbereich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Hoffrichter</dc:creator>
  <cp:lastModifiedBy>Helmut Hoffrichter</cp:lastModifiedBy>
  <dcterms:created xsi:type="dcterms:W3CDTF">2021-01-28T13:46:21Z</dcterms:created>
  <dcterms:modified xsi:type="dcterms:W3CDTF">2026-02-16T09:33:18Z</dcterms:modified>
</cp:coreProperties>
</file>