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codeName="DieseArbeitsmappe"/>
  <mc:AlternateContent xmlns:mc="http://schemas.openxmlformats.org/markup-compatibility/2006">
    <mc:Choice Requires="x15">
      <x15ac:absPath xmlns:x15ac="http://schemas.microsoft.com/office/spreadsheetml/2010/11/ac" url="/Users/helmuthoffrichter/Downloads/"/>
    </mc:Choice>
  </mc:AlternateContent>
  <xr:revisionPtr revIDLastSave="0" documentId="13_ncr:1_{1E80FDFD-0B7F-9E4E-A931-C600D3DD8361}" xr6:coauthVersionLast="36" xr6:coauthVersionMax="36" xr10:uidLastSave="{00000000-0000-0000-0000-000000000000}"/>
  <bookViews>
    <workbookView xWindow="40140" yWindow="500" windowWidth="36440" windowHeight="21100" tabRatio="500" xr2:uid="{00000000-000D-0000-FFFF-FFFF00000000}"/>
  </bookViews>
  <sheets>
    <sheet name="Navigation" sheetId="7" r:id="rId1"/>
    <sheet name="Standortgrafik" sheetId="2" r:id="rId2"/>
    <sheet name="globale Grafik" sheetId="4" r:id="rId3"/>
  </sheets>
  <definedNames>
    <definedName name="_A1">Navigation!$L$18</definedName>
    <definedName name="_A2">Navigation!$L$19</definedName>
    <definedName name="_A3">Navigation!$L$20</definedName>
    <definedName name="_A4">Navigation!$L$21</definedName>
    <definedName name="_B1">Navigation!$L$23</definedName>
    <definedName name="_B2">Navigation!$L$24</definedName>
    <definedName name="_B3">Navigation!$L$25</definedName>
    <definedName name="_B4">Navigation!$L$26</definedName>
    <definedName name="_dek1">Navigation!$AC$8</definedName>
    <definedName name="_l">Navigation!$W$16</definedName>
    <definedName name="_ls">Navigation!$W$24</definedName>
    <definedName name="_p1">Navigation!$AD$10</definedName>
    <definedName name="_p2">Navigation!$AD$11</definedName>
    <definedName name="_s1">Navigation!$AD$12</definedName>
    <definedName name="_s1v">Navigation!#REF!</definedName>
    <definedName name="_s2">Navigation!$AD$13</definedName>
    <definedName name="_T1">Navigation!$O$18</definedName>
    <definedName name="_T2">Navigation!$P$18</definedName>
    <definedName name="add">'globale Grafik'!$AE$16</definedName>
    <definedName name="Az">Navigation!$W$18</definedName>
    <definedName name="Az_°">Navigation!$V$29</definedName>
    <definedName name="Az°">Navigation!$V$18</definedName>
    <definedName name="B">Standortgrafik!$M$12</definedName>
    <definedName name="B_">Standortgrafik!$M$13</definedName>
    <definedName name="BB">Navigation!$P$37</definedName>
    <definedName name="cmg">Navigation!$H$17</definedName>
    <definedName name="d">Navigation!$O$29</definedName>
    <definedName name="d_">Navigation!$P$29</definedName>
    <definedName name="d°">Navigation!$O$31</definedName>
    <definedName name="d°_">Navigation!$P$31</definedName>
    <definedName name="dat">Navigation!$G$12</definedName>
    <definedName name="dat_">Navigation!$G$20</definedName>
    <definedName name="deka">Navigation!$X$29</definedName>
    <definedName name="dmg">Navigation!$C$17</definedName>
    <definedName name="F">Navigation!$W$10</definedName>
    <definedName name="G">Navigation!$W$13</definedName>
    <definedName name="grt">Navigation!$O$28</definedName>
    <definedName name="grt_">Navigation!$P$28</definedName>
    <definedName name="Grt°">Navigation!$O$30</definedName>
    <definedName name="Grt°_">Navigation!$P$30</definedName>
    <definedName name="grta">Navigation!$X$28</definedName>
    <definedName name="Gs">Navigation!$W$21</definedName>
    <definedName name="h">Navigation!$M$13</definedName>
    <definedName name="h_">Navigation!$O$13</definedName>
    <definedName name="h_°">Navigation!$O$11</definedName>
    <definedName name="h°">Navigation!$M$11</definedName>
    <definedName name="hma">Navigation!$N$13</definedName>
    <definedName name="hmav">Navigation!#REF!</definedName>
    <definedName name="hs">Navigation!$W$19</definedName>
    <definedName name="hs°">Navigation!$V$19</definedName>
    <definedName name="j">Navigation!$W$15</definedName>
    <definedName name="js">Navigation!$W$23</definedName>
    <definedName name="K">Navigation!$W$7</definedName>
    <definedName name="lat">Navigation!$V$23</definedName>
    <definedName name="lat°">Navigation!$V$15</definedName>
    <definedName name="LHA">Navigation!$W$17</definedName>
    <definedName name="LHA_">Navigation!$W$28</definedName>
    <definedName name="LHA°">Navigation!$V$17</definedName>
    <definedName name="LHA°_">Navigation!$V$28</definedName>
    <definedName name="LHAa">Navigation!$AB$27</definedName>
    <definedName name="lon">Navigation!$V$25</definedName>
    <definedName name="ls">Navigation!$W$25</definedName>
    <definedName name="maxn">'globale Grafik'!$AE$6</definedName>
    <definedName name="maxs">'globale Grafik'!$AE$9</definedName>
    <definedName name="minn">'globale Grafik'!$AE$8</definedName>
    <definedName name="mins">'globale Grafik'!$AE$7</definedName>
    <definedName name="ot">Navigation!$G$13</definedName>
    <definedName name="ot_">Navigation!$G$21</definedName>
    <definedName name="P">Navigation!$U$7</definedName>
    <definedName name="q">Navigation!$W$9</definedName>
    <definedName name="ref">Navigation!$L$28</definedName>
    <definedName name="step">'globale Grafik'!$AE$17</definedName>
    <definedName name="t">Navigation!$AD$14</definedName>
    <definedName name="tau">Navigation!$W$14</definedName>
    <definedName name="taus">Navigation!$W$22</definedName>
    <definedName name="TG">Navigation!$F$20</definedName>
    <definedName name="V">Navigation!$W$11</definedName>
    <definedName name="var">Navigation!$V$6</definedName>
    <definedName name="vb">Standortgrafik!$O$9</definedName>
    <definedName name="vl">Standortgrafik!$O$10</definedName>
    <definedName name="W">Navigation!$W$12</definedName>
    <definedName name="Ws">Navigation!$W$20</definedName>
    <definedName name="z_">Navigation!$W$29</definedName>
  </definedNames>
  <calcPr calcId="181029"/>
  <extLs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W22" i="7" l="1"/>
  <c r="W14" i="7"/>
  <c r="C9" i="7" l="1"/>
  <c r="C21" i="7" l="1"/>
  <c r="E21" i="7"/>
  <c r="F20" i="7"/>
  <c r="F22" i="7"/>
  <c r="F14" i="7"/>
  <c r="F13" i="7"/>
  <c r="M11" i="2" l="1"/>
  <c r="M10" i="2" l="1"/>
  <c r="M9" i="2"/>
  <c r="O9" i="2" s="1"/>
  <c r="E29" i="7" l="1"/>
  <c r="C29" i="7"/>
  <c r="L21" i="7"/>
  <c r="S20" i="7"/>
  <c r="L20" i="7"/>
  <c r="L19" i="7"/>
  <c r="O18" i="7"/>
  <c r="L18" i="7"/>
  <c r="O10" i="7"/>
  <c r="M10" i="7"/>
  <c r="R8" i="7"/>
  <c r="R9" i="7" s="1"/>
  <c r="O7" i="7"/>
  <c r="M7" i="7"/>
  <c r="H5" i="7"/>
  <c r="O8" i="7" l="1"/>
  <c r="M8" i="7"/>
  <c r="O19" i="7"/>
  <c r="O20" i="7"/>
  <c r="O25" i="7"/>
  <c r="O22" i="7"/>
  <c r="R10" i="7"/>
  <c r="R11" i="7" s="1"/>
  <c r="R12" i="7" s="1"/>
  <c r="R13" i="7" s="1"/>
  <c r="R14" i="7" s="1"/>
  <c r="R15" i="7" s="1"/>
  <c r="R16" i="7" s="1"/>
  <c r="R17" i="7" s="1"/>
  <c r="R18" i="7" s="1"/>
  <c r="O9" i="7" l="1"/>
  <c r="O11" i="7" s="1"/>
  <c r="O12" i="7" s="1"/>
  <c r="E34" i="7" s="1"/>
  <c r="O21" i="7"/>
  <c r="O23" i="7" s="1"/>
  <c r="O24" i="7" s="1"/>
  <c r="O29" i="7" s="1"/>
  <c r="M9" i="7"/>
  <c r="M11" i="7" s="1"/>
  <c r="M13" i="7" s="1"/>
  <c r="U7" i="7" l="1"/>
  <c r="O31" i="7"/>
  <c r="O13" i="7"/>
  <c r="O26" i="7"/>
  <c r="O27" i="7" s="1"/>
  <c r="O28" i="7" s="1"/>
  <c r="P12" i="7"/>
  <c r="G34" i="7" s="1"/>
  <c r="M12" i="7"/>
  <c r="C34" i="7" s="1"/>
  <c r="N12" i="7" l="1"/>
  <c r="D34" i="7" s="1"/>
  <c r="O30" i="7" l="1"/>
  <c r="C30" i="7" s="1"/>
  <c r="D30" i="7" s="1"/>
  <c r="M8" i="2" l="1"/>
  <c r="M7" i="2"/>
  <c r="Y195" i="4" l="1"/>
  <c r="P18" i="7" l="1"/>
  <c r="P19" i="7" s="1"/>
  <c r="P20" i="7" l="1"/>
  <c r="P21" i="7" s="1"/>
  <c r="P25" i="7"/>
  <c r="P22" i="7"/>
  <c r="P23" i="7" l="1"/>
  <c r="P24" i="7" s="1"/>
  <c r="P29" i="7" l="1"/>
  <c r="P26" i="7"/>
  <c r="P27" i="7" s="1"/>
  <c r="W9" i="7" l="1"/>
  <c r="W10" i="7" s="1"/>
  <c r="W11" i="7" s="1"/>
  <c r="P28" i="7"/>
  <c r="P30" i="7" s="1"/>
  <c r="P31" i="7"/>
  <c r="L192" i="4"/>
  <c r="L9" i="4"/>
  <c r="V9" i="7" l="1"/>
  <c r="E30" i="7"/>
  <c r="G30" i="7" s="1"/>
  <c r="Y196" i="4"/>
  <c r="V10" i="7"/>
  <c r="E31" i="7"/>
  <c r="G31" i="7" s="1"/>
  <c r="M196" i="4"/>
  <c r="L193" i="4" l="1"/>
  <c r="AE7" i="4" s="1"/>
  <c r="L8" i="4"/>
  <c r="W12" i="7" l="1"/>
  <c r="AE9" i="4"/>
  <c r="AE11" i="4" s="1"/>
  <c r="M195" i="4"/>
  <c r="AE6" i="4"/>
  <c r="AE12" i="4" s="1"/>
  <c r="AE8" i="4"/>
  <c r="V11" i="7"/>
  <c r="C31" i="7"/>
  <c r="D31" i="7" s="1"/>
  <c r="W13" i="7" l="1"/>
  <c r="V12" i="7"/>
  <c r="AE10" i="4"/>
  <c r="AE13" i="4" s="1"/>
  <c r="AE15" i="4" s="1"/>
  <c r="AE16" i="4" s="1"/>
  <c r="W16" i="7" l="1"/>
  <c r="W17" i="7" s="1"/>
  <c r="W15" i="7"/>
  <c r="AE17" i="4"/>
  <c r="N7" i="4" s="1"/>
  <c r="N8" i="4" s="1"/>
  <c r="W18" i="7" l="1"/>
  <c r="N9" i="4"/>
  <c r="M8" i="4"/>
  <c r="O8" i="4" s="1"/>
  <c r="P8" i="4" l="1"/>
  <c r="T8" i="4" s="1"/>
  <c r="R8" i="4"/>
  <c r="V8" i="4" s="1"/>
  <c r="S8" i="4"/>
  <c r="W8" i="4" s="1"/>
  <c r="Q8" i="4"/>
  <c r="U8" i="4" s="1"/>
  <c r="M9" i="4"/>
  <c r="O9" i="4" s="1"/>
  <c r="N10" i="4"/>
  <c r="M10" i="4" l="1"/>
  <c r="O10" i="4" s="1"/>
  <c r="N11" i="4"/>
  <c r="Q9" i="4"/>
  <c r="U9" i="4" s="1"/>
  <c r="P9" i="4"/>
  <c r="T9" i="4" s="1"/>
  <c r="R9" i="4"/>
  <c r="V9" i="4" s="1"/>
  <c r="S9" i="4"/>
  <c r="W9" i="4" s="1"/>
  <c r="M11" i="4" l="1"/>
  <c r="O11" i="4" s="1"/>
  <c r="N12" i="4"/>
  <c r="Q10" i="4"/>
  <c r="U10" i="4" s="1"/>
  <c r="S10" i="4"/>
  <c r="W10" i="4" s="1"/>
  <c r="P10" i="4"/>
  <c r="T10" i="4" s="1"/>
  <c r="R10" i="4"/>
  <c r="V10" i="4" s="1"/>
  <c r="M12" i="4" l="1"/>
  <c r="O12" i="4" s="1"/>
  <c r="N13" i="4"/>
  <c r="P11" i="4"/>
  <c r="T11" i="4" s="1"/>
  <c r="R11" i="4"/>
  <c r="V11" i="4" s="1"/>
  <c r="S11" i="4"/>
  <c r="W11" i="4" s="1"/>
  <c r="Q11" i="4"/>
  <c r="U11" i="4" s="1"/>
  <c r="M13" i="4" l="1"/>
  <c r="O13" i="4" s="1"/>
  <c r="N14" i="4"/>
  <c r="Q12" i="4"/>
  <c r="U12" i="4" s="1"/>
  <c r="R12" i="4"/>
  <c r="V12" i="4" s="1"/>
  <c r="P12" i="4"/>
  <c r="T12" i="4" s="1"/>
  <c r="S12" i="4"/>
  <c r="W12" i="4" s="1"/>
  <c r="M14" i="4" l="1"/>
  <c r="O14" i="4" s="1"/>
  <c r="N15" i="4"/>
  <c r="Q13" i="4"/>
  <c r="U13" i="4" s="1"/>
  <c r="P13" i="4"/>
  <c r="T13" i="4" s="1"/>
  <c r="S13" i="4"/>
  <c r="W13" i="4" s="1"/>
  <c r="R13" i="4"/>
  <c r="V13" i="4" s="1"/>
  <c r="M15" i="4" l="1"/>
  <c r="O15" i="4" s="1"/>
  <c r="N16" i="4"/>
  <c r="Q14" i="4"/>
  <c r="U14" i="4" s="1"/>
  <c r="R14" i="4"/>
  <c r="V14" i="4" s="1"/>
  <c r="S14" i="4"/>
  <c r="W14" i="4" s="1"/>
  <c r="P14" i="4"/>
  <c r="T14" i="4" s="1"/>
  <c r="N17" i="4" l="1"/>
  <c r="M16" i="4"/>
  <c r="O16" i="4" s="1"/>
  <c r="S15" i="4"/>
  <c r="W15" i="4" s="1"/>
  <c r="Q15" i="4"/>
  <c r="U15" i="4" s="1"/>
  <c r="R15" i="4"/>
  <c r="V15" i="4" s="1"/>
  <c r="P15" i="4"/>
  <c r="T15" i="4" s="1"/>
  <c r="Q16" i="4" l="1"/>
  <c r="U16" i="4" s="1"/>
  <c r="P16" i="4"/>
  <c r="T16" i="4" s="1"/>
  <c r="S16" i="4"/>
  <c r="W16" i="4" s="1"/>
  <c r="R16" i="4"/>
  <c r="V16" i="4" s="1"/>
  <c r="M17" i="4"/>
  <c r="O17" i="4" s="1"/>
  <c r="N18" i="4"/>
  <c r="N19" i="4" l="1"/>
  <c r="M18" i="4"/>
  <c r="O18" i="4" s="1"/>
  <c r="R17" i="4"/>
  <c r="V17" i="4" s="1"/>
  <c r="Q17" i="4"/>
  <c r="U17" i="4" s="1"/>
  <c r="S17" i="4"/>
  <c r="W17" i="4" s="1"/>
  <c r="P17" i="4"/>
  <c r="T17" i="4" s="1"/>
  <c r="R18" i="4" l="1"/>
  <c r="V18" i="4" s="1"/>
  <c r="P18" i="4"/>
  <c r="T18" i="4" s="1"/>
  <c r="Q18" i="4"/>
  <c r="U18" i="4" s="1"/>
  <c r="S18" i="4"/>
  <c r="W18" i="4" s="1"/>
  <c r="M19" i="4"/>
  <c r="O19" i="4" s="1"/>
  <c r="N20" i="4"/>
  <c r="Q19" i="4" l="1"/>
  <c r="U19" i="4" s="1"/>
  <c r="P19" i="4"/>
  <c r="T19" i="4" s="1"/>
  <c r="S19" i="4"/>
  <c r="W19" i="4" s="1"/>
  <c r="R19" i="4"/>
  <c r="V19" i="4" s="1"/>
  <c r="M20" i="4"/>
  <c r="O20" i="4" s="1"/>
  <c r="N21" i="4"/>
  <c r="M21" i="4" l="1"/>
  <c r="O21" i="4" s="1"/>
  <c r="N22" i="4"/>
  <c r="P20" i="4"/>
  <c r="T20" i="4" s="1"/>
  <c r="Q20" i="4"/>
  <c r="U20" i="4" s="1"/>
  <c r="R20" i="4"/>
  <c r="V20" i="4" s="1"/>
  <c r="S20" i="4"/>
  <c r="W20" i="4" s="1"/>
  <c r="M22" i="4" l="1"/>
  <c r="O22" i="4" s="1"/>
  <c r="N23" i="4"/>
  <c r="Q21" i="4"/>
  <c r="U21" i="4" s="1"/>
  <c r="P21" i="4"/>
  <c r="T21" i="4" s="1"/>
  <c r="S21" i="4"/>
  <c r="W21" i="4" s="1"/>
  <c r="R21" i="4"/>
  <c r="V21" i="4" s="1"/>
  <c r="N24" i="4" l="1"/>
  <c r="M23" i="4"/>
  <c r="O23" i="4" s="1"/>
  <c r="P22" i="4"/>
  <c r="T22" i="4" s="1"/>
  <c r="Q22" i="4"/>
  <c r="U22" i="4" s="1"/>
  <c r="R22" i="4"/>
  <c r="V22" i="4" s="1"/>
  <c r="S22" i="4"/>
  <c r="W22" i="4" s="1"/>
  <c r="M24" i="4" l="1"/>
  <c r="O24" i="4" s="1"/>
  <c r="N25" i="4"/>
  <c r="Q23" i="4"/>
  <c r="U23" i="4" s="1"/>
  <c r="R23" i="4"/>
  <c r="V23" i="4" s="1"/>
  <c r="S23" i="4"/>
  <c r="W23" i="4" s="1"/>
  <c r="P23" i="4"/>
  <c r="T23" i="4" s="1"/>
  <c r="N26" i="4" l="1"/>
  <c r="M25" i="4"/>
  <c r="O25" i="4" s="1"/>
  <c r="R24" i="4"/>
  <c r="V24" i="4" s="1"/>
  <c r="Q24" i="4"/>
  <c r="U24" i="4" s="1"/>
  <c r="S24" i="4"/>
  <c r="W24" i="4" s="1"/>
  <c r="P24" i="4"/>
  <c r="T24" i="4" s="1"/>
  <c r="Q25" i="4" l="1"/>
  <c r="U25" i="4" s="1"/>
  <c r="R25" i="4"/>
  <c r="V25" i="4" s="1"/>
  <c r="P25" i="4"/>
  <c r="T25" i="4" s="1"/>
  <c r="S25" i="4"/>
  <c r="W25" i="4" s="1"/>
  <c r="N27" i="4"/>
  <c r="M26" i="4"/>
  <c r="O26" i="4" s="1"/>
  <c r="N28" i="4" l="1"/>
  <c r="M27" i="4"/>
  <c r="O27" i="4" s="1"/>
  <c r="P26" i="4"/>
  <c r="T26" i="4" s="1"/>
  <c r="R26" i="4"/>
  <c r="V26" i="4" s="1"/>
  <c r="Q26" i="4"/>
  <c r="U26" i="4" s="1"/>
  <c r="S26" i="4"/>
  <c r="W26" i="4" s="1"/>
  <c r="P27" i="4" l="1"/>
  <c r="T27" i="4" s="1"/>
  <c r="R27" i="4"/>
  <c r="V27" i="4" s="1"/>
  <c r="S27" i="4"/>
  <c r="W27" i="4" s="1"/>
  <c r="Q27" i="4"/>
  <c r="U27" i="4" s="1"/>
  <c r="M28" i="4"/>
  <c r="O28" i="4" s="1"/>
  <c r="N29" i="4"/>
  <c r="M29" i="4" l="1"/>
  <c r="O29" i="4" s="1"/>
  <c r="N30" i="4"/>
  <c r="S28" i="4"/>
  <c r="W28" i="4" s="1"/>
  <c r="R28" i="4"/>
  <c r="V28" i="4" s="1"/>
  <c r="Q28" i="4"/>
  <c r="U28" i="4" s="1"/>
  <c r="P28" i="4"/>
  <c r="T28" i="4" s="1"/>
  <c r="M30" i="4" l="1"/>
  <c r="O30" i="4" s="1"/>
  <c r="N31" i="4"/>
  <c r="P29" i="4"/>
  <c r="T29" i="4" s="1"/>
  <c r="Q29" i="4"/>
  <c r="U29" i="4" s="1"/>
  <c r="S29" i="4"/>
  <c r="W29" i="4" s="1"/>
  <c r="R29" i="4"/>
  <c r="V29" i="4" s="1"/>
  <c r="M31" i="4" l="1"/>
  <c r="O31" i="4" s="1"/>
  <c r="N32" i="4"/>
  <c r="P30" i="4"/>
  <c r="T30" i="4" s="1"/>
  <c r="Q30" i="4"/>
  <c r="U30" i="4" s="1"/>
  <c r="R30" i="4"/>
  <c r="V30" i="4" s="1"/>
  <c r="S30" i="4"/>
  <c r="W30" i="4" s="1"/>
  <c r="N33" i="4" l="1"/>
  <c r="M32" i="4"/>
  <c r="O32" i="4" s="1"/>
  <c r="P31" i="4"/>
  <c r="T31" i="4" s="1"/>
  <c r="Q31" i="4"/>
  <c r="U31" i="4" s="1"/>
  <c r="R31" i="4"/>
  <c r="V31" i="4" s="1"/>
  <c r="S31" i="4"/>
  <c r="W31" i="4" s="1"/>
  <c r="P32" i="4" l="1"/>
  <c r="T32" i="4" s="1"/>
  <c r="S32" i="4"/>
  <c r="W32" i="4" s="1"/>
  <c r="R32" i="4"/>
  <c r="V32" i="4" s="1"/>
  <c r="Q32" i="4"/>
  <c r="U32" i="4" s="1"/>
  <c r="N34" i="4"/>
  <c r="M33" i="4"/>
  <c r="O33" i="4" s="1"/>
  <c r="M34" i="4" l="1"/>
  <c r="O34" i="4" s="1"/>
  <c r="N35" i="4"/>
  <c r="P33" i="4"/>
  <c r="T33" i="4" s="1"/>
  <c r="Q33" i="4"/>
  <c r="U33" i="4" s="1"/>
  <c r="R33" i="4"/>
  <c r="V33" i="4" s="1"/>
  <c r="S33" i="4"/>
  <c r="W33" i="4" s="1"/>
  <c r="M35" i="4" l="1"/>
  <c r="O35" i="4" s="1"/>
  <c r="N36" i="4"/>
  <c r="R34" i="4"/>
  <c r="V34" i="4" s="1"/>
  <c r="P34" i="4"/>
  <c r="T34" i="4" s="1"/>
  <c r="S34" i="4"/>
  <c r="W34" i="4" s="1"/>
  <c r="Q34" i="4"/>
  <c r="U34" i="4" s="1"/>
  <c r="M36" i="4" l="1"/>
  <c r="O36" i="4" s="1"/>
  <c r="N37" i="4"/>
  <c r="R35" i="4"/>
  <c r="V35" i="4" s="1"/>
  <c r="P35" i="4"/>
  <c r="T35" i="4" s="1"/>
  <c r="Q35" i="4"/>
  <c r="U35" i="4" s="1"/>
  <c r="S35" i="4"/>
  <c r="W35" i="4" s="1"/>
  <c r="S36" i="4" l="1"/>
  <c r="W36" i="4" s="1"/>
  <c r="P36" i="4"/>
  <c r="T36" i="4" s="1"/>
  <c r="R36" i="4"/>
  <c r="V36" i="4" s="1"/>
  <c r="Q36" i="4"/>
  <c r="U36" i="4" s="1"/>
  <c r="M37" i="4"/>
  <c r="O37" i="4" s="1"/>
  <c r="N38" i="4"/>
  <c r="M38" i="4" l="1"/>
  <c r="O38" i="4" s="1"/>
  <c r="N39" i="4"/>
  <c r="S37" i="4"/>
  <c r="W37" i="4" s="1"/>
  <c r="Q37" i="4"/>
  <c r="U37" i="4" s="1"/>
  <c r="P37" i="4"/>
  <c r="T37" i="4" s="1"/>
  <c r="R37" i="4"/>
  <c r="V37" i="4" s="1"/>
  <c r="N40" i="4" l="1"/>
  <c r="M39" i="4"/>
  <c r="O39" i="4" s="1"/>
  <c r="Q38" i="4"/>
  <c r="U38" i="4" s="1"/>
  <c r="S38" i="4"/>
  <c r="W38" i="4" s="1"/>
  <c r="P38" i="4"/>
  <c r="T38" i="4" s="1"/>
  <c r="R38" i="4"/>
  <c r="V38" i="4" s="1"/>
  <c r="P39" i="4" l="1"/>
  <c r="T39" i="4" s="1"/>
  <c r="Q39" i="4"/>
  <c r="U39" i="4" s="1"/>
  <c r="R39" i="4"/>
  <c r="V39" i="4" s="1"/>
  <c r="S39" i="4"/>
  <c r="W39" i="4" s="1"/>
  <c r="N41" i="4"/>
  <c r="M40" i="4"/>
  <c r="O40" i="4" s="1"/>
  <c r="R40" i="4" l="1"/>
  <c r="V40" i="4" s="1"/>
  <c r="Q40" i="4"/>
  <c r="U40" i="4" s="1"/>
  <c r="P40" i="4"/>
  <c r="T40" i="4" s="1"/>
  <c r="S40" i="4"/>
  <c r="W40" i="4" s="1"/>
  <c r="M41" i="4"/>
  <c r="O41" i="4" s="1"/>
  <c r="N42" i="4"/>
  <c r="R41" i="4" l="1"/>
  <c r="V41" i="4" s="1"/>
  <c r="P41" i="4"/>
  <c r="T41" i="4" s="1"/>
  <c r="Q41" i="4"/>
  <c r="U41" i="4" s="1"/>
  <c r="S41" i="4"/>
  <c r="W41" i="4" s="1"/>
  <c r="N43" i="4"/>
  <c r="M42" i="4"/>
  <c r="O42" i="4" s="1"/>
  <c r="P42" i="4" l="1"/>
  <c r="T42" i="4" s="1"/>
  <c r="R42" i="4"/>
  <c r="V42" i="4" s="1"/>
  <c r="Q42" i="4"/>
  <c r="U42" i="4" s="1"/>
  <c r="S42" i="4"/>
  <c r="W42" i="4" s="1"/>
  <c r="M43" i="4"/>
  <c r="O43" i="4" s="1"/>
  <c r="N44" i="4"/>
  <c r="M44" i="4" l="1"/>
  <c r="O44" i="4" s="1"/>
  <c r="N45" i="4"/>
  <c r="S43" i="4"/>
  <c r="W43" i="4" s="1"/>
  <c r="Q43" i="4"/>
  <c r="U43" i="4" s="1"/>
  <c r="P43" i="4"/>
  <c r="T43" i="4" s="1"/>
  <c r="R43" i="4"/>
  <c r="V43" i="4" s="1"/>
  <c r="M45" i="4" l="1"/>
  <c r="O45" i="4" s="1"/>
  <c r="N46" i="4"/>
  <c r="P44" i="4"/>
  <c r="T44" i="4" s="1"/>
  <c r="S44" i="4"/>
  <c r="W44" i="4" s="1"/>
  <c r="Q44" i="4"/>
  <c r="U44" i="4" s="1"/>
  <c r="R44" i="4"/>
  <c r="V44" i="4" s="1"/>
  <c r="M46" i="4" l="1"/>
  <c r="O46" i="4" s="1"/>
  <c r="N47" i="4"/>
  <c r="R45" i="4"/>
  <c r="V45" i="4" s="1"/>
  <c r="S45" i="4"/>
  <c r="W45" i="4" s="1"/>
  <c r="P45" i="4"/>
  <c r="T45" i="4" s="1"/>
  <c r="Q45" i="4"/>
  <c r="U45" i="4" s="1"/>
  <c r="M47" i="4" l="1"/>
  <c r="O47" i="4" s="1"/>
  <c r="N48" i="4"/>
  <c r="P46" i="4"/>
  <c r="T46" i="4" s="1"/>
  <c r="Q46" i="4"/>
  <c r="U46" i="4" s="1"/>
  <c r="R46" i="4"/>
  <c r="V46" i="4" s="1"/>
  <c r="S46" i="4"/>
  <c r="W46" i="4" s="1"/>
  <c r="N49" i="4" l="1"/>
  <c r="M48" i="4"/>
  <c r="O48" i="4" s="1"/>
  <c r="P47" i="4"/>
  <c r="T47" i="4" s="1"/>
  <c r="S47" i="4"/>
  <c r="W47" i="4" s="1"/>
  <c r="Q47" i="4"/>
  <c r="U47" i="4" s="1"/>
  <c r="R47" i="4"/>
  <c r="V47" i="4" s="1"/>
  <c r="R48" i="4" l="1"/>
  <c r="V48" i="4" s="1"/>
  <c r="P48" i="4"/>
  <c r="T48" i="4" s="1"/>
  <c r="Q48" i="4"/>
  <c r="U48" i="4" s="1"/>
  <c r="S48" i="4"/>
  <c r="W48" i="4" s="1"/>
  <c r="M49" i="4"/>
  <c r="O49" i="4" s="1"/>
  <c r="N50" i="4"/>
  <c r="M50" i="4" l="1"/>
  <c r="O50" i="4" s="1"/>
  <c r="N51" i="4"/>
  <c r="S49" i="4"/>
  <c r="W49" i="4" s="1"/>
  <c r="Q49" i="4"/>
  <c r="U49" i="4" s="1"/>
  <c r="R49" i="4"/>
  <c r="V49" i="4" s="1"/>
  <c r="P49" i="4"/>
  <c r="T49" i="4" s="1"/>
  <c r="M51" i="4" l="1"/>
  <c r="O51" i="4" s="1"/>
  <c r="N52" i="4"/>
  <c r="Q50" i="4"/>
  <c r="U50" i="4" s="1"/>
  <c r="P50" i="4"/>
  <c r="T50" i="4" s="1"/>
  <c r="S50" i="4"/>
  <c r="W50" i="4" s="1"/>
  <c r="R50" i="4"/>
  <c r="V50" i="4" s="1"/>
  <c r="M52" i="4" l="1"/>
  <c r="O52" i="4" s="1"/>
  <c r="N53" i="4"/>
  <c r="R51" i="4"/>
  <c r="V51" i="4" s="1"/>
  <c r="P51" i="4"/>
  <c r="T51" i="4" s="1"/>
  <c r="Q51" i="4"/>
  <c r="U51" i="4" s="1"/>
  <c r="S51" i="4"/>
  <c r="W51" i="4" s="1"/>
  <c r="M53" i="4" l="1"/>
  <c r="O53" i="4" s="1"/>
  <c r="N54" i="4"/>
  <c r="S52" i="4"/>
  <c r="W52" i="4" s="1"/>
  <c r="R52" i="4"/>
  <c r="V52" i="4" s="1"/>
  <c r="Q52" i="4"/>
  <c r="U52" i="4" s="1"/>
  <c r="P52" i="4"/>
  <c r="T52" i="4" s="1"/>
  <c r="M54" i="4" l="1"/>
  <c r="O54" i="4" s="1"/>
  <c r="N55" i="4"/>
  <c r="Q53" i="4"/>
  <c r="U53" i="4" s="1"/>
  <c r="P53" i="4"/>
  <c r="T53" i="4" s="1"/>
  <c r="S53" i="4"/>
  <c r="W53" i="4" s="1"/>
  <c r="R53" i="4"/>
  <c r="V53" i="4" s="1"/>
  <c r="N56" i="4" l="1"/>
  <c r="M55" i="4"/>
  <c r="O55" i="4" s="1"/>
  <c r="Q54" i="4"/>
  <c r="U54" i="4" s="1"/>
  <c r="P54" i="4"/>
  <c r="T54" i="4" s="1"/>
  <c r="R54" i="4"/>
  <c r="V54" i="4" s="1"/>
  <c r="S54" i="4"/>
  <c r="W54" i="4" s="1"/>
  <c r="P55" i="4" l="1"/>
  <c r="T55" i="4" s="1"/>
  <c r="Q55" i="4"/>
  <c r="U55" i="4" s="1"/>
  <c r="S55" i="4"/>
  <c r="W55" i="4" s="1"/>
  <c r="R55" i="4"/>
  <c r="V55" i="4" s="1"/>
  <c r="N57" i="4"/>
  <c r="M56" i="4"/>
  <c r="O56" i="4" s="1"/>
  <c r="Q56" i="4" l="1"/>
  <c r="U56" i="4" s="1"/>
  <c r="S56" i="4"/>
  <c r="W56" i="4" s="1"/>
  <c r="R56" i="4"/>
  <c r="V56" i="4" s="1"/>
  <c r="P56" i="4"/>
  <c r="T56" i="4" s="1"/>
  <c r="M57" i="4"/>
  <c r="O57" i="4" s="1"/>
  <c r="N58" i="4"/>
  <c r="N59" i="4" l="1"/>
  <c r="M58" i="4"/>
  <c r="O58" i="4" s="1"/>
  <c r="P57" i="4"/>
  <c r="T57" i="4" s="1"/>
  <c r="Q57" i="4"/>
  <c r="U57" i="4" s="1"/>
  <c r="S57" i="4"/>
  <c r="W57" i="4" s="1"/>
  <c r="R57" i="4"/>
  <c r="V57" i="4" s="1"/>
  <c r="Q58" i="4" l="1"/>
  <c r="U58" i="4" s="1"/>
  <c r="P58" i="4"/>
  <c r="T58" i="4" s="1"/>
  <c r="R58" i="4"/>
  <c r="V58" i="4" s="1"/>
  <c r="S58" i="4"/>
  <c r="W58" i="4" s="1"/>
  <c r="M59" i="4"/>
  <c r="O59" i="4" s="1"/>
  <c r="N60" i="4"/>
  <c r="M60" i="4" l="1"/>
  <c r="O60" i="4" s="1"/>
  <c r="N61" i="4"/>
  <c r="S59" i="4"/>
  <c r="W59" i="4" s="1"/>
  <c r="R59" i="4"/>
  <c r="V59" i="4" s="1"/>
  <c r="P59" i="4"/>
  <c r="T59" i="4" s="1"/>
  <c r="Q59" i="4"/>
  <c r="U59" i="4" s="1"/>
  <c r="M61" i="4" l="1"/>
  <c r="O61" i="4" s="1"/>
  <c r="N62" i="4"/>
  <c r="Q60" i="4"/>
  <c r="U60" i="4" s="1"/>
  <c r="P60" i="4"/>
  <c r="T60" i="4" s="1"/>
  <c r="R60" i="4"/>
  <c r="V60" i="4" s="1"/>
  <c r="S60" i="4"/>
  <c r="W60" i="4" s="1"/>
  <c r="N63" i="4" l="1"/>
  <c r="M62" i="4"/>
  <c r="O62" i="4" s="1"/>
  <c r="R61" i="4"/>
  <c r="V61" i="4" s="1"/>
  <c r="Q61" i="4"/>
  <c r="U61" i="4" s="1"/>
  <c r="S61" i="4"/>
  <c r="W61" i="4" s="1"/>
  <c r="P61" i="4"/>
  <c r="T61" i="4" s="1"/>
  <c r="P62" i="4" l="1"/>
  <c r="T62" i="4" s="1"/>
  <c r="Q62" i="4"/>
  <c r="U62" i="4" s="1"/>
  <c r="S62" i="4"/>
  <c r="W62" i="4" s="1"/>
  <c r="R62" i="4"/>
  <c r="V62" i="4" s="1"/>
  <c r="M63" i="4"/>
  <c r="O63" i="4" s="1"/>
  <c r="N64" i="4"/>
  <c r="N65" i="4" l="1"/>
  <c r="M64" i="4"/>
  <c r="O64" i="4" s="1"/>
  <c r="Q63" i="4"/>
  <c r="U63" i="4" s="1"/>
  <c r="P63" i="4"/>
  <c r="T63" i="4" s="1"/>
  <c r="S63" i="4"/>
  <c r="W63" i="4" s="1"/>
  <c r="R63" i="4"/>
  <c r="V63" i="4" s="1"/>
  <c r="Q64" i="4" l="1"/>
  <c r="U64" i="4" s="1"/>
  <c r="S64" i="4"/>
  <c r="W64" i="4" s="1"/>
  <c r="P64" i="4"/>
  <c r="T64" i="4" s="1"/>
  <c r="R64" i="4"/>
  <c r="V64" i="4" s="1"/>
  <c r="M65" i="4"/>
  <c r="O65" i="4" s="1"/>
  <c r="N66" i="4"/>
  <c r="P65" i="4" l="1"/>
  <c r="T65" i="4" s="1"/>
  <c r="Q65" i="4"/>
  <c r="U65" i="4" s="1"/>
  <c r="R65" i="4"/>
  <c r="V65" i="4" s="1"/>
  <c r="S65" i="4"/>
  <c r="W65" i="4" s="1"/>
  <c r="M66" i="4"/>
  <c r="O66" i="4" s="1"/>
  <c r="N67" i="4"/>
  <c r="M67" i="4" l="1"/>
  <c r="O67" i="4" s="1"/>
  <c r="N68" i="4"/>
  <c r="P66" i="4"/>
  <c r="T66" i="4" s="1"/>
  <c r="Q66" i="4"/>
  <c r="U66" i="4" s="1"/>
  <c r="S66" i="4"/>
  <c r="W66" i="4" s="1"/>
  <c r="R66" i="4"/>
  <c r="V66" i="4" s="1"/>
  <c r="M68" i="4" l="1"/>
  <c r="O68" i="4" s="1"/>
  <c r="N69" i="4"/>
  <c r="R67" i="4"/>
  <c r="V67" i="4" s="1"/>
  <c r="Q67" i="4"/>
  <c r="U67" i="4" s="1"/>
  <c r="S67" i="4"/>
  <c r="W67" i="4" s="1"/>
  <c r="P67" i="4"/>
  <c r="T67" i="4" s="1"/>
  <c r="M69" i="4" l="1"/>
  <c r="O69" i="4" s="1"/>
  <c r="N70" i="4"/>
  <c r="Q68" i="4"/>
  <c r="U68" i="4" s="1"/>
  <c r="S68" i="4"/>
  <c r="W68" i="4" s="1"/>
  <c r="P68" i="4"/>
  <c r="T68" i="4" s="1"/>
  <c r="R68" i="4"/>
  <c r="V68" i="4" s="1"/>
  <c r="M70" i="4" l="1"/>
  <c r="O70" i="4" s="1"/>
  <c r="N71" i="4"/>
  <c r="P69" i="4"/>
  <c r="T69" i="4" s="1"/>
  <c r="Q69" i="4"/>
  <c r="U69" i="4" s="1"/>
  <c r="R69" i="4"/>
  <c r="V69" i="4" s="1"/>
  <c r="S69" i="4"/>
  <c r="W69" i="4" s="1"/>
  <c r="M71" i="4" l="1"/>
  <c r="O71" i="4" s="1"/>
  <c r="N72" i="4"/>
  <c r="Q70" i="4"/>
  <c r="U70" i="4" s="1"/>
  <c r="P70" i="4"/>
  <c r="T70" i="4" s="1"/>
  <c r="R70" i="4"/>
  <c r="V70" i="4" s="1"/>
  <c r="S70" i="4"/>
  <c r="W70" i="4" s="1"/>
  <c r="N73" i="4" l="1"/>
  <c r="M72" i="4"/>
  <c r="O72" i="4" s="1"/>
  <c r="Q71" i="4"/>
  <c r="U71" i="4" s="1"/>
  <c r="P71" i="4"/>
  <c r="T71" i="4" s="1"/>
  <c r="R71" i="4"/>
  <c r="V71" i="4" s="1"/>
  <c r="S71" i="4"/>
  <c r="W71" i="4" s="1"/>
  <c r="S72" i="4" l="1"/>
  <c r="W72" i="4" s="1"/>
  <c r="R72" i="4"/>
  <c r="V72" i="4" s="1"/>
  <c r="Q72" i="4"/>
  <c r="U72" i="4" s="1"/>
  <c r="P72" i="4"/>
  <c r="T72" i="4" s="1"/>
  <c r="M73" i="4"/>
  <c r="O73" i="4" s="1"/>
  <c r="N74" i="4"/>
  <c r="M74" i="4" l="1"/>
  <c r="O74" i="4" s="1"/>
  <c r="N75" i="4"/>
  <c r="R73" i="4"/>
  <c r="V73" i="4" s="1"/>
  <c r="P73" i="4"/>
  <c r="T73" i="4" s="1"/>
  <c r="S73" i="4"/>
  <c r="W73" i="4" s="1"/>
  <c r="Q73" i="4"/>
  <c r="U73" i="4" s="1"/>
  <c r="M75" i="4" l="1"/>
  <c r="O75" i="4" s="1"/>
  <c r="N76" i="4"/>
  <c r="Q74" i="4"/>
  <c r="U74" i="4" s="1"/>
  <c r="S74" i="4"/>
  <c r="W74" i="4" s="1"/>
  <c r="R74" i="4"/>
  <c r="V74" i="4" s="1"/>
  <c r="P74" i="4"/>
  <c r="T74" i="4" s="1"/>
  <c r="N77" i="4" l="1"/>
  <c r="M76" i="4"/>
  <c r="O76" i="4" s="1"/>
  <c r="R75" i="4"/>
  <c r="V75" i="4" s="1"/>
  <c r="Q75" i="4"/>
  <c r="U75" i="4" s="1"/>
  <c r="S75" i="4"/>
  <c r="W75" i="4" s="1"/>
  <c r="P75" i="4"/>
  <c r="T75" i="4" s="1"/>
  <c r="Q76" i="4" l="1"/>
  <c r="U76" i="4" s="1"/>
  <c r="P76" i="4"/>
  <c r="T76" i="4" s="1"/>
  <c r="R76" i="4"/>
  <c r="V76" i="4" s="1"/>
  <c r="S76" i="4"/>
  <c r="W76" i="4" s="1"/>
  <c r="M77" i="4"/>
  <c r="O77" i="4" s="1"/>
  <c r="N78" i="4"/>
  <c r="M78" i="4" l="1"/>
  <c r="O78" i="4" s="1"/>
  <c r="N79" i="4"/>
  <c r="Q77" i="4"/>
  <c r="U77" i="4" s="1"/>
  <c r="P77" i="4"/>
  <c r="T77" i="4" s="1"/>
  <c r="R77" i="4"/>
  <c r="V77" i="4" s="1"/>
  <c r="S77" i="4"/>
  <c r="W77" i="4" s="1"/>
  <c r="M79" i="4" l="1"/>
  <c r="O79" i="4" s="1"/>
  <c r="N80" i="4"/>
  <c r="Q78" i="4"/>
  <c r="U78" i="4" s="1"/>
  <c r="P78" i="4"/>
  <c r="T78" i="4" s="1"/>
  <c r="S78" i="4"/>
  <c r="W78" i="4" s="1"/>
  <c r="R78" i="4"/>
  <c r="V78" i="4" s="1"/>
  <c r="M80" i="4" l="1"/>
  <c r="O80" i="4" s="1"/>
  <c r="N81" i="4"/>
  <c r="R79" i="4"/>
  <c r="V79" i="4" s="1"/>
  <c r="Q79" i="4"/>
  <c r="U79" i="4" s="1"/>
  <c r="S79" i="4"/>
  <c r="W79" i="4" s="1"/>
  <c r="P79" i="4"/>
  <c r="T79" i="4" s="1"/>
  <c r="M81" i="4" l="1"/>
  <c r="O81" i="4" s="1"/>
  <c r="N82" i="4"/>
  <c r="R80" i="4"/>
  <c r="V80" i="4" s="1"/>
  <c r="S80" i="4"/>
  <c r="W80" i="4" s="1"/>
  <c r="P80" i="4"/>
  <c r="T80" i="4" s="1"/>
  <c r="Q80" i="4"/>
  <c r="U80" i="4" s="1"/>
  <c r="N83" i="4" l="1"/>
  <c r="M82" i="4"/>
  <c r="O82" i="4" s="1"/>
  <c r="Q81" i="4"/>
  <c r="U81" i="4" s="1"/>
  <c r="P81" i="4"/>
  <c r="T81" i="4" s="1"/>
  <c r="R81" i="4"/>
  <c r="V81" i="4" s="1"/>
  <c r="S81" i="4"/>
  <c r="W81" i="4" s="1"/>
  <c r="R82" i="4" l="1"/>
  <c r="V82" i="4" s="1"/>
  <c r="S82" i="4"/>
  <c r="W82" i="4" s="1"/>
  <c r="Q82" i="4"/>
  <c r="U82" i="4" s="1"/>
  <c r="P82" i="4"/>
  <c r="T82" i="4" s="1"/>
  <c r="M83" i="4"/>
  <c r="O83" i="4" s="1"/>
  <c r="N84" i="4"/>
  <c r="P83" i="4" l="1"/>
  <c r="T83" i="4" s="1"/>
  <c r="Q83" i="4"/>
  <c r="U83" i="4" s="1"/>
  <c r="R83" i="4"/>
  <c r="V83" i="4" s="1"/>
  <c r="S83" i="4"/>
  <c r="W83" i="4" s="1"/>
  <c r="N85" i="4"/>
  <c r="M84" i="4"/>
  <c r="O84" i="4" s="1"/>
  <c r="Q84" i="4" l="1"/>
  <c r="U84" i="4" s="1"/>
  <c r="P84" i="4"/>
  <c r="T84" i="4" s="1"/>
  <c r="R84" i="4"/>
  <c r="V84" i="4" s="1"/>
  <c r="S84" i="4"/>
  <c r="W84" i="4" s="1"/>
  <c r="M85" i="4"/>
  <c r="O85" i="4" s="1"/>
  <c r="N86" i="4"/>
  <c r="Q85" i="4" l="1"/>
  <c r="U85" i="4" s="1"/>
  <c r="R85" i="4"/>
  <c r="V85" i="4" s="1"/>
  <c r="P85" i="4"/>
  <c r="T85" i="4" s="1"/>
  <c r="S85" i="4"/>
  <c r="W85" i="4" s="1"/>
  <c r="M86" i="4"/>
  <c r="O86" i="4" s="1"/>
  <c r="N87" i="4"/>
  <c r="M87" i="4" l="1"/>
  <c r="O87" i="4" s="1"/>
  <c r="N88" i="4"/>
  <c r="P86" i="4"/>
  <c r="T86" i="4" s="1"/>
  <c r="Q86" i="4"/>
  <c r="U86" i="4" s="1"/>
  <c r="R86" i="4"/>
  <c r="V86" i="4" s="1"/>
  <c r="S86" i="4"/>
  <c r="W86" i="4" s="1"/>
  <c r="M88" i="4" l="1"/>
  <c r="O88" i="4" s="1"/>
  <c r="N89" i="4"/>
  <c r="Q87" i="4"/>
  <c r="U87" i="4" s="1"/>
  <c r="R87" i="4"/>
  <c r="V87" i="4" s="1"/>
  <c r="S87" i="4"/>
  <c r="W87" i="4" s="1"/>
  <c r="P87" i="4"/>
  <c r="T87" i="4" s="1"/>
  <c r="M89" i="4" l="1"/>
  <c r="O89" i="4" s="1"/>
  <c r="N90" i="4"/>
  <c r="S88" i="4"/>
  <c r="W88" i="4" s="1"/>
  <c r="Q88" i="4"/>
  <c r="U88" i="4" s="1"/>
  <c r="P88" i="4"/>
  <c r="T88" i="4" s="1"/>
  <c r="R88" i="4"/>
  <c r="V88" i="4" s="1"/>
  <c r="N91" i="4" l="1"/>
  <c r="M90" i="4"/>
  <c r="O90" i="4" s="1"/>
  <c r="Q89" i="4"/>
  <c r="U89" i="4" s="1"/>
  <c r="R89" i="4"/>
  <c r="V89" i="4" s="1"/>
  <c r="S89" i="4"/>
  <c r="W89" i="4" s="1"/>
  <c r="P89" i="4"/>
  <c r="T89" i="4" s="1"/>
  <c r="Q90" i="4" l="1"/>
  <c r="U90" i="4" s="1"/>
  <c r="P90" i="4"/>
  <c r="T90" i="4" s="1"/>
  <c r="S90" i="4"/>
  <c r="W90" i="4" s="1"/>
  <c r="R90" i="4"/>
  <c r="V90" i="4" s="1"/>
  <c r="M91" i="4"/>
  <c r="O91" i="4" s="1"/>
  <c r="N92" i="4"/>
  <c r="P91" i="4" l="1"/>
  <c r="T91" i="4" s="1"/>
  <c r="S91" i="4"/>
  <c r="W91" i="4" s="1"/>
  <c r="Q91" i="4"/>
  <c r="U91" i="4" s="1"/>
  <c r="R91" i="4"/>
  <c r="V91" i="4" s="1"/>
  <c r="M92" i="4"/>
  <c r="O92" i="4" s="1"/>
  <c r="N93" i="4"/>
  <c r="M93" i="4" l="1"/>
  <c r="O93" i="4" s="1"/>
  <c r="N94" i="4"/>
  <c r="P92" i="4"/>
  <c r="T92" i="4" s="1"/>
  <c r="Q92" i="4"/>
  <c r="U92" i="4" s="1"/>
  <c r="S92" i="4"/>
  <c r="W92" i="4" s="1"/>
  <c r="R92" i="4"/>
  <c r="V92" i="4" s="1"/>
  <c r="M94" i="4" l="1"/>
  <c r="O94" i="4" s="1"/>
  <c r="N95" i="4"/>
  <c r="P93" i="4"/>
  <c r="T93" i="4" s="1"/>
  <c r="Q93" i="4"/>
  <c r="U93" i="4" s="1"/>
  <c r="S93" i="4"/>
  <c r="W93" i="4" s="1"/>
  <c r="R93" i="4"/>
  <c r="V93" i="4" s="1"/>
  <c r="M95" i="4" l="1"/>
  <c r="O95" i="4" s="1"/>
  <c r="N96" i="4"/>
  <c r="P94" i="4"/>
  <c r="T94" i="4" s="1"/>
  <c r="R94" i="4"/>
  <c r="V94" i="4" s="1"/>
  <c r="S94" i="4"/>
  <c r="W94" i="4" s="1"/>
  <c r="Q94" i="4"/>
  <c r="U94" i="4" s="1"/>
  <c r="M96" i="4" l="1"/>
  <c r="O96" i="4" s="1"/>
  <c r="N97" i="4"/>
  <c r="R95" i="4"/>
  <c r="V95" i="4" s="1"/>
  <c r="Q95" i="4"/>
  <c r="U95" i="4" s="1"/>
  <c r="P95" i="4"/>
  <c r="T95" i="4" s="1"/>
  <c r="S95" i="4"/>
  <c r="W95" i="4" s="1"/>
  <c r="M97" i="4" l="1"/>
  <c r="O97" i="4" s="1"/>
  <c r="N98" i="4"/>
  <c r="Q96" i="4"/>
  <c r="U96" i="4" s="1"/>
  <c r="R96" i="4"/>
  <c r="V96" i="4" s="1"/>
  <c r="P96" i="4"/>
  <c r="T96" i="4" s="1"/>
  <c r="S96" i="4"/>
  <c r="W96" i="4" s="1"/>
  <c r="M98" i="4" l="1"/>
  <c r="O98" i="4" s="1"/>
  <c r="N99" i="4"/>
  <c r="P97" i="4"/>
  <c r="T97" i="4" s="1"/>
  <c r="R97" i="4"/>
  <c r="V97" i="4" s="1"/>
  <c r="Q97" i="4"/>
  <c r="U97" i="4" s="1"/>
  <c r="S97" i="4"/>
  <c r="W97" i="4" s="1"/>
  <c r="N100" i="4" l="1"/>
  <c r="M99" i="4"/>
  <c r="O99" i="4" s="1"/>
  <c r="Q98" i="4"/>
  <c r="U98" i="4" s="1"/>
  <c r="P98" i="4"/>
  <c r="T98" i="4" s="1"/>
  <c r="R98" i="4"/>
  <c r="V98" i="4" s="1"/>
  <c r="S98" i="4"/>
  <c r="W98" i="4" s="1"/>
  <c r="Q99" i="4" l="1"/>
  <c r="U99" i="4" s="1"/>
  <c r="P99" i="4"/>
  <c r="T99" i="4" s="1"/>
  <c r="R99" i="4"/>
  <c r="V99" i="4" s="1"/>
  <c r="S99" i="4"/>
  <c r="W99" i="4" s="1"/>
  <c r="M100" i="4"/>
  <c r="O100" i="4" s="1"/>
  <c r="N101" i="4"/>
  <c r="M101" i="4" l="1"/>
  <c r="O101" i="4" s="1"/>
  <c r="N102" i="4"/>
  <c r="P100" i="4"/>
  <c r="T100" i="4" s="1"/>
  <c r="Q100" i="4"/>
  <c r="U100" i="4" s="1"/>
  <c r="R100" i="4"/>
  <c r="V100" i="4" s="1"/>
  <c r="S100" i="4"/>
  <c r="W100" i="4" s="1"/>
  <c r="M102" i="4" l="1"/>
  <c r="O102" i="4" s="1"/>
  <c r="N103" i="4"/>
  <c r="R101" i="4"/>
  <c r="V101" i="4" s="1"/>
  <c r="P101" i="4"/>
  <c r="T101" i="4" s="1"/>
  <c r="S101" i="4"/>
  <c r="W101" i="4" s="1"/>
  <c r="Q101" i="4"/>
  <c r="U101" i="4" s="1"/>
  <c r="M103" i="4" l="1"/>
  <c r="O103" i="4" s="1"/>
  <c r="N104" i="4"/>
  <c r="Q102" i="4"/>
  <c r="U102" i="4" s="1"/>
  <c r="S102" i="4"/>
  <c r="W102" i="4" s="1"/>
  <c r="R102" i="4"/>
  <c r="V102" i="4" s="1"/>
  <c r="P102" i="4"/>
  <c r="T102" i="4" s="1"/>
  <c r="M104" i="4" l="1"/>
  <c r="O104" i="4" s="1"/>
  <c r="N105" i="4"/>
  <c r="P103" i="4"/>
  <c r="T103" i="4" s="1"/>
  <c r="S103" i="4"/>
  <c r="W103" i="4" s="1"/>
  <c r="R103" i="4"/>
  <c r="V103" i="4" s="1"/>
  <c r="Q103" i="4"/>
  <c r="U103" i="4" s="1"/>
  <c r="M105" i="4" l="1"/>
  <c r="O105" i="4" s="1"/>
  <c r="N106" i="4"/>
  <c r="P104" i="4"/>
  <c r="T104" i="4" s="1"/>
  <c r="S104" i="4"/>
  <c r="W104" i="4" s="1"/>
  <c r="R104" i="4"/>
  <c r="V104" i="4" s="1"/>
  <c r="Q104" i="4"/>
  <c r="U104" i="4" s="1"/>
  <c r="M106" i="4" l="1"/>
  <c r="O106" i="4" s="1"/>
  <c r="N107" i="4"/>
  <c r="Q105" i="4"/>
  <c r="U105" i="4" s="1"/>
  <c r="S105" i="4"/>
  <c r="W105" i="4" s="1"/>
  <c r="R105" i="4"/>
  <c r="V105" i="4" s="1"/>
  <c r="P105" i="4"/>
  <c r="T105" i="4" s="1"/>
  <c r="M107" i="4" l="1"/>
  <c r="O107" i="4" s="1"/>
  <c r="N108" i="4"/>
  <c r="S106" i="4"/>
  <c r="W106" i="4" s="1"/>
  <c r="R106" i="4"/>
  <c r="V106" i="4" s="1"/>
  <c r="Q106" i="4"/>
  <c r="U106" i="4" s="1"/>
  <c r="P106" i="4"/>
  <c r="T106" i="4" s="1"/>
  <c r="M108" i="4" l="1"/>
  <c r="O108" i="4" s="1"/>
  <c r="N109" i="4"/>
  <c r="Q107" i="4"/>
  <c r="U107" i="4" s="1"/>
  <c r="P107" i="4"/>
  <c r="T107" i="4" s="1"/>
  <c r="S107" i="4"/>
  <c r="W107" i="4" s="1"/>
  <c r="R107" i="4"/>
  <c r="V107" i="4" s="1"/>
  <c r="M109" i="4" l="1"/>
  <c r="O109" i="4" s="1"/>
  <c r="N110" i="4"/>
  <c r="P108" i="4"/>
  <c r="T108" i="4" s="1"/>
  <c r="S108" i="4"/>
  <c r="W108" i="4" s="1"/>
  <c r="R108" i="4"/>
  <c r="V108" i="4" s="1"/>
  <c r="Q108" i="4"/>
  <c r="U108" i="4" s="1"/>
  <c r="M110" i="4" l="1"/>
  <c r="O110" i="4" s="1"/>
  <c r="N111" i="4"/>
  <c r="R109" i="4"/>
  <c r="V109" i="4" s="1"/>
  <c r="S109" i="4"/>
  <c r="W109" i="4" s="1"/>
  <c r="P109" i="4"/>
  <c r="T109" i="4" s="1"/>
  <c r="Q109" i="4"/>
  <c r="U109" i="4" s="1"/>
  <c r="M111" i="4" l="1"/>
  <c r="O111" i="4" s="1"/>
  <c r="N112" i="4"/>
  <c r="P110" i="4"/>
  <c r="T110" i="4" s="1"/>
  <c r="Q110" i="4"/>
  <c r="U110" i="4" s="1"/>
  <c r="S110" i="4"/>
  <c r="W110" i="4" s="1"/>
  <c r="R110" i="4"/>
  <c r="V110" i="4" s="1"/>
  <c r="M112" i="4" l="1"/>
  <c r="O112" i="4" s="1"/>
  <c r="N113" i="4"/>
  <c r="S111" i="4"/>
  <c r="W111" i="4" s="1"/>
  <c r="Q111" i="4"/>
  <c r="U111" i="4" s="1"/>
  <c r="P111" i="4"/>
  <c r="T111" i="4" s="1"/>
  <c r="R111" i="4"/>
  <c r="V111" i="4" s="1"/>
  <c r="M113" i="4" l="1"/>
  <c r="O113" i="4" s="1"/>
  <c r="N114" i="4"/>
  <c r="Q112" i="4"/>
  <c r="U112" i="4" s="1"/>
  <c r="P112" i="4"/>
  <c r="T112" i="4" s="1"/>
  <c r="S112" i="4"/>
  <c r="W112" i="4" s="1"/>
  <c r="R112" i="4"/>
  <c r="V112" i="4" s="1"/>
  <c r="N115" i="4" l="1"/>
  <c r="M114" i="4"/>
  <c r="O114" i="4" s="1"/>
  <c r="R113" i="4"/>
  <c r="V113" i="4" s="1"/>
  <c r="S113" i="4"/>
  <c r="W113" i="4" s="1"/>
  <c r="P113" i="4"/>
  <c r="T113" i="4" s="1"/>
  <c r="Q113" i="4"/>
  <c r="U113" i="4" s="1"/>
  <c r="P114" i="4" l="1"/>
  <c r="T114" i="4" s="1"/>
  <c r="S114" i="4"/>
  <c r="W114" i="4" s="1"/>
  <c r="R114" i="4"/>
  <c r="V114" i="4" s="1"/>
  <c r="Q114" i="4"/>
  <c r="U114" i="4" s="1"/>
  <c r="N116" i="4"/>
  <c r="M115" i="4"/>
  <c r="O115" i="4" s="1"/>
  <c r="Q115" i="4" l="1"/>
  <c r="U115" i="4" s="1"/>
  <c r="S115" i="4"/>
  <c r="W115" i="4" s="1"/>
  <c r="P115" i="4"/>
  <c r="T115" i="4" s="1"/>
  <c r="R115" i="4"/>
  <c r="V115" i="4" s="1"/>
  <c r="N117" i="4"/>
  <c r="M116" i="4"/>
  <c r="O116" i="4" s="1"/>
  <c r="P116" i="4" l="1"/>
  <c r="T116" i="4" s="1"/>
  <c r="Q116" i="4"/>
  <c r="U116" i="4" s="1"/>
  <c r="S116" i="4"/>
  <c r="W116" i="4" s="1"/>
  <c r="R116" i="4"/>
  <c r="V116" i="4" s="1"/>
  <c r="M117" i="4"/>
  <c r="O117" i="4" s="1"/>
  <c r="N118" i="4"/>
  <c r="N119" i="4" l="1"/>
  <c r="M118" i="4"/>
  <c r="O118" i="4" s="1"/>
  <c r="P117" i="4"/>
  <c r="T117" i="4" s="1"/>
  <c r="R117" i="4"/>
  <c r="V117" i="4" s="1"/>
  <c r="Q117" i="4"/>
  <c r="U117" i="4" s="1"/>
  <c r="S117" i="4"/>
  <c r="W117" i="4" s="1"/>
  <c r="Q118" i="4" l="1"/>
  <c r="U118" i="4" s="1"/>
  <c r="P118" i="4"/>
  <c r="T118" i="4" s="1"/>
  <c r="R118" i="4"/>
  <c r="V118" i="4" s="1"/>
  <c r="S118" i="4"/>
  <c r="W118" i="4" s="1"/>
  <c r="M119" i="4"/>
  <c r="O119" i="4" s="1"/>
  <c r="N120" i="4"/>
  <c r="M120" i="4" l="1"/>
  <c r="O120" i="4" s="1"/>
  <c r="N121" i="4"/>
  <c r="P119" i="4"/>
  <c r="T119" i="4" s="1"/>
  <c r="S119" i="4"/>
  <c r="W119" i="4" s="1"/>
  <c r="R119" i="4"/>
  <c r="V119" i="4" s="1"/>
  <c r="Q119" i="4"/>
  <c r="U119" i="4" s="1"/>
  <c r="M121" i="4" l="1"/>
  <c r="O121" i="4" s="1"/>
  <c r="N122" i="4"/>
  <c r="Q120" i="4"/>
  <c r="U120" i="4" s="1"/>
  <c r="S120" i="4"/>
  <c r="W120" i="4" s="1"/>
  <c r="R120" i="4"/>
  <c r="V120" i="4" s="1"/>
  <c r="P120" i="4"/>
  <c r="T120" i="4" s="1"/>
  <c r="N123" i="4" l="1"/>
  <c r="M122" i="4"/>
  <c r="O122" i="4" s="1"/>
  <c r="R121" i="4"/>
  <c r="V121" i="4" s="1"/>
  <c r="Q121" i="4"/>
  <c r="U121" i="4" s="1"/>
  <c r="P121" i="4"/>
  <c r="T121" i="4" s="1"/>
  <c r="S121" i="4"/>
  <c r="W121" i="4" s="1"/>
  <c r="Q122" i="4" l="1"/>
  <c r="U122" i="4" s="1"/>
  <c r="S122" i="4"/>
  <c r="W122" i="4" s="1"/>
  <c r="P122" i="4"/>
  <c r="T122" i="4" s="1"/>
  <c r="R122" i="4"/>
  <c r="V122" i="4" s="1"/>
  <c r="N124" i="4"/>
  <c r="M123" i="4"/>
  <c r="O123" i="4" s="1"/>
  <c r="P123" i="4" l="1"/>
  <c r="T123" i="4" s="1"/>
  <c r="Q123" i="4"/>
  <c r="U123" i="4" s="1"/>
  <c r="S123" i="4"/>
  <c r="W123" i="4" s="1"/>
  <c r="R123" i="4"/>
  <c r="V123" i="4" s="1"/>
  <c r="N125" i="4"/>
  <c r="M124" i="4"/>
  <c r="O124" i="4" s="1"/>
  <c r="Q124" i="4" l="1"/>
  <c r="U124" i="4" s="1"/>
  <c r="P124" i="4"/>
  <c r="T124" i="4" s="1"/>
  <c r="S124" i="4"/>
  <c r="W124" i="4" s="1"/>
  <c r="R124" i="4"/>
  <c r="V124" i="4" s="1"/>
  <c r="M125" i="4"/>
  <c r="O125" i="4" s="1"/>
  <c r="N126" i="4"/>
  <c r="M126" i="4" l="1"/>
  <c r="O126" i="4" s="1"/>
  <c r="N127" i="4"/>
  <c r="R125" i="4"/>
  <c r="V125" i="4" s="1"/>
  <c r="Q125" i="4"/>
  <c r="U125" i="4" s="1"/>
  <c r="S125" i="4"/>
  <c r="W125" i="4" s="1"/>
  <c r="P125" i="4"/>
  <c r="T125" i="4" s="1"/>
  <c r="M127" i="4" l="1"/>
  <c r="O127" i="4" s="1"/>
  <c r="N128" i="4"/>
  <c r="Q126" i="4"/>
  <c r="U126" i="4" s="1"/>
  <c r="P126" i="4"/>
  <c r="T126" i="4" s="1"/>
  <c r="R126" i="4"/>
  <c r="V126" i="4" s="1"/>
  <c r="S126" i="4"/>
  <c r="W126" i="4" s="1"/>
  <c r="M128" i="4" l="1"/>
  <c r="O128" i="4" s="1"/>
  <c r="N129" i="4"/>
  <c r="Q127" i="4"/>
  <c r="U127" i="4" s="1"/>
  <c r="P127" i="4"/>
  <c r="T127" i="4" s="1"/>
  <c r="R127" i="4"/>
  <c r="V127" i="4" s="1"/>
  <c r="S127" i="4"/>
  <c r="W127" i="4" s="1"/>
  <c r="M129" i="4" l="1"/>
  <c r="O129" i="4" s="1"/>
  <c r="N130" i="4"/>
  <c r="P128" i="4"/>
  <c r="T128" i="4" s="1"/>
  <c r="Q128" i="4"/>
  <c r="U128" i="4" s="1"/>
  <c r="R128" i="4"/>
  <c r="V128" i="4" s="1"/>
  <c r="S128" i="4"/>
  <c r="W128" i="4" s="1"/>
  <c r="N131" i="4" l="1"/>
  <c r="M130" i="4"/>
  <c r="O130" i="4" s="1"/>
  <c r="R129" i="4"/>
  <c r="V129" i="4" s="1"/>
  <c r="Q129" i="4"/>
  <c r="U129" i="4" s="1"/>
  <c r="P129" i="4"/>
  <c r="T129" i="4" s="1"/>
  <c r="S129" i="4"/>
  <c r="W129" i="4" s="1"/>
  <c r="Q130" i="4" l="1"/>
  <c r="U130" i="4" s="1"/>
  <c r="S130" i="4"/>
  <c r="W130" i="4" s="1"/>
  <c r="P130" i="4"/>
  <c r="T130" i="4" s="1"/>
  <c r="R130" i="4"/>
  <c r="V130" i="4" s="1"/>
  <c r="N132" i="4"/>
  <c r="M131" i="4"/>
  <c r="O131" i="4" s="1"/>
  <c r="P131" i="4" l="1"/>
  <c r="T131" i="4" s="1"/>
  <c r="S131" i="4"/>
  <c r="W131" i="4" s="1"/>
  <c r="Q131" i="4"/>
  <c r="U131" i="4" s="1"/>
  <c r="R131" i="4"/>
  <c r="V131" i="4" s="1"/>
  <c r="N133" i="4"/>
  <c r="M132" i="4"/>
  <c r="O132" i="4" s="1"/>
  <c r="R132" i="4" l="1"/>
  <c r="V132" i="4" s="1"/>
  <c r="Q132" i="4"/>
  <c r="U132" i="4" s="1"/>
  <c r="S132" i="4"/>
  <c r="W132" i="4" s="1"/>
  <c r="P132" i="4"/>
  <c r="T132" i="4" s="1"/>
  <c r="M133" i="4"/>
  <c r="O133" i="4" s="1"/>
  <c r="N134" i="4"/>
  <c r="M134" i="4" l="1"/>
  <c r="O134" i="4" s="1"/>
  <c r="N135" i="4"/>
  <c r="Q133" i="4"/>
  <c r="U133" i="4" s="1"/>
  <c r="P133" i="4"/>
  <c r="T133" i="4" s="1"/>
  <c r="R133" i="4"/>
  <c r="V133" i="4" s="1"/>
  <c r="S133" i="4"/>
  <c r="W133" i="4" s="1"/>
  <c r="M135" i="4" l="1"/>
  <c r="O135" i="4" s="1"/>
  <c r="N136" i="4"/>
  <c r="P134" i="4"/>
  <c r="T134" i="4" s="1"/>
  <c r="Q134" i="4"/>
  <c r="U134" i="4" s="1"/>
  <c r="S134" i="4"/>
  <c r="W134" i="4" s="1"/>
  <c r="R134" i="4"/>
  <c r="V134" i="4" s="1"/>
  <c r="M136" i="4" l="1"/>
  <c r="O136" i="4" s="1"/>
  <c r="N137" i="4"/>
  <c r="Q135" i="4"/>
  <c r="U135" i="4" s="1"/>
  <c r="S135" i="4"/>
  <c r="W135" i="4" s="1"/>
  <c r="R135" i="4"/>
  <c r="V135" i="4" s="1"/>
  <c r="P135" i="4"/>
  <c r="T135" i="4" s="1"/>
  <c r="M137" i="4" l="1"/>
  <c r="O137" i="4" s="1"/>
  <c r="N138" i="4"/>
  <c r="S136" i="4"/>
  <c r="W136" i="4" s="1"/>
  <c r="P136" i="4"/>
  <c r="T136" i="4" s="1"/>
  <c r="Q136" i="4"/>
  <c r="U136" i="4" s="1"/>
  <c r="R136" i="4"/>
  <c r="V136" i="4" s="1"/>
  <c r="N139" i="4" l="1"/>
  <c r="M138" i="4"/>
  <c r="O138" i="4" s="1"/>
  <c r="P137" i="4"/>
  <c r="T137" i="4" s="1"/>
  <c r="R137" i="4"/>
  <c r="V137" i="4" s="1"/>
  <c r="Q137" i="4"/>
  <c r="U137" i="4" s="1"/>
  <c r="S137" i="4"/>
  <c r="W137" i="4" s="1"/>
  <c r="S138" i="4" l="1"/>
  <c r="W138" i="4" s="1"/>
  <c r="Q138" i="4"/>
  <c r="U138" i="4" s="1"/>
  <c r="R138" i="4"/>
  <c r="V138" i="4" s="1"/>
  <c r="P138" i="4"/>
  <c r="T138" i="4" s="1"/>
  <c r="M139" i="4"/>
  <c r="O139" i="4" s="1"/>
  <c r="N140" i="4"/>
  <c r="N141" i="4" l="1"/>
  <c r="M140" i="4"/>
  <c r="O140" i="4" s="1"/>
  <c r="P139" i="4"/>
  <c r="T139" i="4" s="1"/>
  <c r="Q139" i="4"/>
  <c r="U139" i="4" s="1"/>
  <c r="R139" i="4"/>
  <c r="V139" i="4" s="1"/>
  <c r="S139" i="4"/>
  <c r="W139" i="4" s="1"/>
  <c r="P140" i="4" l="1"/>
  <c r="T140" i="4" s="1"/>
  <c r="Q140" i="4"/>
  <c r="U140" i="4" s="1"/>
  <c r="R140" i="4"/>
  <c r="V140" i="4" s="1"/>
  <c r="S140" i="4"/>
  <c r="W140" i="4" s="1"/>
  <c r="M141" i="4"/>
  <c r="O141" i="4" s="1"/>
  <c r="N142" i="4"/>
  <c r="M142" i="4" l="1"/>
  <c r="O142" i="4" s="1"/>
  <c r="N143" i="4"/>
  <c r="R141" i="4"/>
  <c r="V141" i="4" s="1"/>
  <c r="S141" i="4"/>
  <c r="W141" i="4" s="1"/>
  <c r="Q141" i="4"/>
  <c r="U141" i="4" s="1"/>
  <c r="P141" i="4"/>
  <c r="T141" i="4" s="1"/>
  <c r="M143" i="4" l="1"/>
  <c r="O143" i="4" s="1"/>
  <c r="N144" i="4"/>
  <c r="P142" i="4"/>
  <c r="T142" i="4" s="1"/>
  <c r="R142" i="4"/>
  <c r="V142" i="4" s="1"/>
  <c r="Q142" i="4"/>
  <c r="U142" i="4" s="1"/>
  <c r="S142" i="4"/>
  <c r="W142" i="4" s="1"/>
  <c r="M144" i="4" l="1"/>
  <c r="O144" i="4" s="1"/>
  <c r="N145" i="4"/>
  <c r="P143" i="4"/>
  <c r="T143" i="4" s="1"/>
  <c r="Q143" i="4"/>
  <c r="U143" i="4" s="1"/>
  <c r="S143" i="4"/>
  <c r="W143" i="4" s="1"/>
  <c r="R143" i="4"/>
  <c r="V143" i="4" s="1"/>
  <c r="M145" i="4" l="1"/>
  <c r="O145" i="4" s="1"/>
  <c r="N146" i="4"/>
  <c r="Q144" i="4"/>
  <c r="U144" i="4" s="1"/>
  <c r="S144" i="4"/>
  <c r="W144" i="4" s="1"/>
  <c r="P144" i="4"/>
  <c r="T144" i="4" s="1"/>
  <c r="R144" i="4"/>
  <c r="V144" i="4" s="1"/>
  <c r="N147" i="4" l="1"/>
  <c r="M146" i="4"/>
  <c r="O146" i="4" s="1"/>
  <c r="R145" i="4"/>
  <c r="V145" i="4" s="1"/>
  <c r="P145" i="4"/>
  <c r="T145" i="4" s="1"/>
  <c r="Q145" i="4"/>
  <c r="U145" i="4" s="1"/>
  <c r="S145" i="4"/>
  <c r="W145" i="4" s="1"/>
  <c r="P146" i="4" l="1"/>
  <c r="T146" i="4" s="1"/>
  <c r="S146" i="4"/>
  <c r="W146" i="4" s="1"/>
  <c r="Q146" i="4"/>
  <c r="U146" i="4" s="1"/>
  <c r="R146" i="4"/>
  <c r="V146" i="4" s="1"/>
  <c r="N148" i="4"/>
  <c r="M147" i="4"/>
  <c r="O147" i="4" s="1"/>
  <c r="P147" i="4" l="1"/>
  <c r="T147" i="4" s="1"/>
  <c r="R147" i="4"/>
  <c r="V147" i="4" s="1"/>
  <c r="Q147" i="4"/>
  <c r="U147" i="4" s="1"/>
  <c r="S147" i="4"/>
  <c r="W147" i="4" s="1"/>
  <c r="N149" i="4"/>
  <c r="M148" i="4"/>
  <c r="O148" i="4" s="1"/>
  <c r="P148" i="4" l="1"/>
  <c r="T148" i="4" s="1"/>
  <c r="R148" i="4"/>
  <c r="V148" i="4" s="1"/>
  <c r="S148" i="4"/>
  <c r="W148" i="4" s="1"/>
  <c r="Q148" i="4"/>
  <c r="U148" i="4" s="1"/>
  <c r="M149" i="4"/>
  <c r="O149" i="4" s="1"/>
  <c r="N150" i="4"/>
  <c r="M150" i="4" l="1"/>
  <c r="O150" i="4" s="1"/>
  <c r="N151" i="4"/>
  <c r="Q149" i="4"/>
  <c r="U149" i="4" s="1"/>
  <c r="R149" i="4"/>
  <c r="V149" i="4" s="1"/>
  <c r="P149" i="4"/>
  <c r="T149" i="4" s="1"/>
  <c r="S149" i="4"/>
  <c r="W149" i="4" s="1"/>
  <c r="M151" i="4" l="1"/>
  <c r="O151" i="4" s="1"/>
  <c r="N152" i="4"/>
  <c r="Q150" i="4"/>
  <c r="U150" i="4" s="1"/>
  <c r="P150" i="4"/>
  <c r="T150" i="4" s="1"/>
  <c r="S150" i="4"/>
  <c r="W150" i="4" s="1"/>
  <c r="R150" i="4"/>
  <c r="V150" i="4" s="1"/>
  <c r="N153" i="4" l="1"/>
  <c r="M152" i="4"/>
  <c r="O152" i="4" s="1"/>
  <c r="P151" i="4"/>
  <c r="T151" i="4" s="1"/>
  <c r="R151" i="4"/>
  <c r="V151" i="4" s="1"/>
  <c r="Q151" i="4"/>
  <c r="U151" i="4" s="1"/>
  <c r="S151" i="4"/>
  <c r="W151" i="4" s="1"/>
  <c r="Q152" i="4" l="1"/>
  <c r="U152" i="4" s="1"/>
  <c r="S152" i="4"/>
  <c r="W152" i="4" s="1"/>
  <c r="P152" i="4"/>
  <c r="T152" i="4" s="1"/>
  <c r="R152" i="4"/>
  <c r="V152" i="4" s="1"/>
  <c r="N154" i="4"/>
  <c r="M153" i="4"/>
  <c r="O153" i="4" s="1"/>
  <c r="S153" i="4" l="1"/>
  <c r="W153" i="4" s="1"/>
  <c r="R153" i="4"/>
  <c r="V153" i="4" s="1"/>
  <c r="P153" i="4"/>
  <c r="T153" i="4" s="1"/>
  <c r="Q153" i="4"/>
  <c r="U153" i="4" s="1"/>
  <c r="N155" i="4"/>
  <c r="M154" i="4"/>
  <c r="O154" i="4" s="1"/>
  <c r="S154" i="4" l="1"/>
  <c r="W154" i="4" s="1"/>
  <c r="R154" i="4"/>
  <c r="V154" i="4" s="1"/>
  <c r="Q154" i="4"/>
  <c r="U154" i="4" s="1"/>
  <c r="P154" i="4"/>
  <c r="T154" i="4" s="1"/>
  <c r="M155" i="4"/>
  <c r="O155" i="4" s="1"/>
  <c r="N156" i="4"/>
  <c r="P155" i="4" l="1"/>
  <c r="T155" i="4" s="1"/>
  <c r="S155" i="4"/>
  <c r="W155" i="4" s="1"/>
  <c r="R155" i="4"/>
  <c r="V155" i="4" s="1"/>
  <c r="Q155" i="4"/>
  <c r="U155" i="4" s="1"/>
  <c r="N157" i="4"/>
  <c r="M156" i="4"/>
  <c r="O156" i="4" s="1"/>
  <c r="P156" i="4" l="1"/>
  <c r="T156" i="4" s="1"/>
  <c r="Q156" i="4"/>
  <c r="U156" i="4" s="1"/>
  <c r="R156" i="4"/>
  <c r="V156" i="4" s="1"/>
  <c r="S156" i="4"/>
  <c r="W156" i="4" s="1"/>
  <c r="M157" i="4"/>
  <c r="O157" i="4" s="1"/>
  <c r="N158" i="4"/>
  <c r="M158" i="4" l="1"/>
  <c r="O158" i="4" s="1"/>
  <c r="N159" i="4"/>
  <c r="Q157" i="4"/>
  <c r="U157" i="4" s="1"/>
  <c r="P157" i="4"/>
  <c r="T157" i="4" s="1"/>
  <c r="R157" i="4"/>
  <c r="V157" i="4" s="1"/>
  <c r="S157" i="4"/>
  <c r="W157" i="4" s="1"/>
  <c r="M159" i="4" l="1"/>
  <c r="O159" i="4" s="1"/>
  <c r="N160" i="4"/>
  <c r="Q158" i="4"/>
  <c r="U158" i="4" s="1"/>
  <c r="S158" i="4"/>
  <c r="W158" i="4" s="1"/>
  <c r="P158" i="4"/>
  <c r="T158" i="4" s="1"/>
  <c r="R158" i="4"/>
  <c r="V158" i="4" s="1"/>
  <c r="M160" i="4" l="1"/>
  <c r="O160" i="4" s="1"/>
  <c r="N161" i="4"/>
  <c r="Q159" i="4"/>
  <c r="U159" i="4" s="1"/>
  <c r="R159" i="4"/>
  <c r="V159" i="4" s="1"/>
  <c r="S159" i="4"/>
  <c r="W159" i="4" s="1"/>
  <c r="P159" i="4"/>
  <c r="T159" i="4" s="1"/>
  <c r="N162" i="4" l="1"/>
  <c r="M161" i="4"/>
  <c r="O161" i="4" s="1"/>
  <c r="P160" i="4"/>
  <c r="T160" i="4" s="1"/>
  <c r="Q160" i="4"/>
  <c r="U160" i="4" s="1"/>
  <c r="R160" i="4"/>
  <c r="V160" i="4" s="1"/>
  <c r="S160" i="4"/>
  <c r="W160" i="4" s="1"/>
  <c r="P161" i="4" l="1"/>
  <c r="T161" i="4" s="1"/>
  <c r="Q161" i="4"/>
  <c r="U161" i="4" s="1"/>
  <c r="R161" i="4"/>
  <c r="V161" i="4" s="1"/>
  <c r="S161" i="4"/>
  <c r="W161" i="4" s="1"/>
  <c r="N163" i="4"/>
  <c r="M162" i="4"/>
  <c r="O162" i="4" s="1"/>
  <c r="Q162" i="4" l="1"/>
  <c r="U162" i="4" s="1"/>
  <c r="P162" i="4"/>
  <c r="T162" i="4" s="1"/>
  <c r="R162" i="4"/>
  <c r="V162" i="4" s="1"/>
  <c r="S162" i="4"/>
  <c r="W162" i="4" s="1"/>
  <c r="N164" i="4"/>
  <c r="M163" i="4"/>
  <c r="O163" i="4" s="1"/>
  <c r="Q163" i="4" l="1"/>
  <c r="U163" i="4" s="1"/>
  <c r="R163" i="4"/>
  <c r="V163" i="4" s="1"/>
  <c r="S163" i="4"/>
  <c r="W163" i="4" s="1"/>
  <c r="P163" i="4"/>
  <c r="T163" i="4" s="1"/>
  <c r="M164" i="4"/>
  <c r="O164" i="4" s="1"/>
  <c r="N165" i="4"/>
  <c r="M165" i="4" l="1"/>
  <c r="O165" i="4" s="1"/>
  <c r="N166" i="4"/>
  <c r="P164" i="4"/>
  <c r="T164" i="4" s="1"/>
  <c r="R164" i="4"/>
  <c r="V164" i="4" s="1"/>
  <c r="S164" i="4"/>
  <c r="W164" i="4" s="1"/>
  <c r="Q164" i="4"/>
  <c r="U164" i="4" s="1"/>
  <c r="M166" i="4" l="1"/>
  <c r="O166" i="4" s="1"/>
  <c r="N167" i="4"/>
  <c r="R165" i="4"/>
  <c r="V165" i="4" s="1"/>
  <c r="S165" i="4"/>
  <c r="W165" i="4" s="1"/>
  <c r="P165" i="4"/>
  <c r="T165" i="4" s="1"/>
  <c r="Q165" i="4"/>
  <c r="U165" i="4" s="1"/>
  <c r="M167" i="4" l="1"/>
  <c r="O167" i="4" s="1"/>
  <c r="N168" i="4"/>
  <c r="P166" i="4"/>
  <c r="T166" i="4" s="1"/>
  <c r="R166" i="4"/>
  <c r="V166" i="4" s="1"/>
  <c r="S166" i="4"/>
  <c r="W166" i="4" s="1"/>
  <c r="Q166" i="4"/>
  <c r="U166" i="4" s="1"/>
  <c r="N169" i="4" l="1"/>
  <c r="M168" i="4"/>
  <c r="O168" i="4" s="1"/>
  <c r="Q167" i="4"/>
  <c r="U167" i="4" s="1"/>
  <c r="P167" i="4"/>
  <c r="T167" i="4" s="1"/>
  <c r="R167" i="4"/>
  <c r="V167" i="4" s="1"/>
  <c r="S167" i="4"/>
  <c r="W167" i="4" s="1"/>
  <c r="Q168" i="4" l="1"/>
  <c r="U168" i="4" s="1"/>
  <c r="P168" i="4"/>
  <c r="T168" i="4" s="1"/>
  <c r="S168" i="4"/>
  <c r="W168" i="4" s="1"/>
  <c r="R168" i="4"/>
  <c r="V168" i="4" s="1"/>
  <c r="M169" i="4"/>
  <c r="O169" i="4" s="1"/>
  <c r="N170" i="4"/>
  <c r="M170" i="4" l="1"/>
  <c r="O170" i="4" s="1"/>
  <c r="N171" i="4"/>
  <c r="P169" i="4"/>
  <c r="T169" i="4" s="1"/>
  <c r="R169" i="4"/>
  <c r="V169" i="4" s="1"/>
  <c r="Q169" i="4"/>
  <c r="U169" i="4" s="1"/>
  <c r="S169" i="4"/>
  <c r="W169" i="4" s="1"/>
  <c r="N172" i="4" l="1"/>
  <c r="M171" i="4"/>
  <c r="O171" i="4" s="1"/>
  <c r="Q170" i="4"/>
  <c r="U170" i="4" s="1"/>
  <c r="P170" i="4"/>
  <c r="T170" i="4" s="1"/>
  <c r="R170" i="4"/>
  <c r="V170" i="4" s="1"/>
  <c r="S170" i="4"/>
  <c r="W170" i="4" s="1"/>
  <c r="Q171" i="4" l="1"/>
  <c r="U171" i="4" s="1"/>
  <c r="P171" i="4"/>
  <c r="T171" i="4" s="1"/>
  <c r="S171" i="4"/>
  <c r="W171" i="4" s="1"/>
  <c r="R171" i="4"/>
  <c r="V171" i="4" s="1"/>
  <c r="M172" i="4"/>
  <c r="O172" i="4" s="1"/>
  <c r="N173" i="4"/>
  <c r="M173" i="4" l="1"/>
  <c r="O173" i="4" s="1"/>
  <c r="N174" i="4"/>
  <c r="Q172" i="4"/>
  <c r="U172" i="4" s="1"/>
  <c r="R172" i="4"/>
  <c r="V172" i="4" s="1"/>
  <c r="S172" i="4"/>
  <c r="W172" i="4" s="1"/>
  <c r="P172" i="4"/>
  <c r="T172" i="4" s="1"/>
  <c r="M174" i="4" l="1"/>
  <c r="O174" i="4" s="1"/>
  <c r="N175" i="4"/>
  <c r="Q173" i="4"/>
  <c r="U173" i="4" s="1"/>
  <c r="P173" i="4"/>
  <c r="T173" i="4" s="1"/>
  <c r="R173" i="4"/>
  <c r="V173" i="4" s="1"/>
  <c r="S173" i="4"/>
  <c r="W173" i="4" s="1"/>
  <c r="M175" i="4" l="1"/>
  <c r="O175" i="4" s="1"/>
  <c r="N176" i="4"/>
  <c r="Q174" i="4"/>
  <c r="U174" i="4" s="1"/>
  <c r="P174" i="4"/>
  <c r="T174" i="4" s="1"/>
  <c r="S174" i="4"/>
  <c r="W174" i="4" s="1"/>
  <c r="R174" i="4"/>
  <c r="V174" i="4" s="1"/>
  <c r="M176" i="4" l="1"/>
  <c r="O176" i="4" s="1"/>
  <c r="N177" i="4"/>
  <c r="Q175" i="4"/>
  <c r="U175" i="4" s="1"/>
  <c r="S175" i="4"/>
  <c r="W175" i="4" s="1"/>
  <c r="R175" i="4"/>
  <c r="V175" i="4" s="1"/>
  <c r="P175" i="4"/>
  <c r="T175" i="4" s="1"/>
  <c r="M177" i="4" l="1"/>
  <c r="O177" i="4" s="1"/>
  <c r="N178" i="4"/>
  <c r="Q176" i="4"/>
  <c r="U176" i="4" s="1"/>
  <c r="R176" i="4"/>
  <c r="V176" i="4" s="1"/>
  <c r="S176" i="4"/>
  <c r="W176" i="4" s="1"/>
  <c r="P176" i="4"/>
  <c r="T176" i="4" s="1"/>
  <c r="N179" i="4" l="1"/>
  <c r="M178" i="4"/>
  <c r="O178" i="4" s="1"/>
  <c r="S177" i="4"/>
  <c r="W177" i="4" s="1"/>
  <c r="R177" i="4"/>
  <c r="V177" i="4" s="1"/>
  <c r="Q177" i="4"/>
  <c r="U177" i="4" s="1"/>
  <c r="P177" i="4"/>
  <c r="T177" i="4" s="1"/>
  <c r="Q178" i="4" l="1"/>
  <c r="U178" i="4" s="1"/>
  <c r="P178" i="4"/>
  <c r="T178" i="4" s="1"/>
  <c r="R178" i="4"/>
  <c r="V178" i="4" s="1"/>
  <c r="S178" i="4"/>
  <c r="W178" i="4" s="1"/>
  <c r="M179" i="4"/>
  <c r="O179" i="4" s="1"/>
  <c r="N180" i="4"/>
  <c r="N181" i="4" l="1"/>
  <c r="M180" i="4"/>
  <c r="O180" i="4" s="1"/>
  <c r="P179" i="4"/>
  <c r="T179" i="4" s="1"/>
  <c r="Q179" i="4"/>
  <c r="U179" i="4" s="1"/>
  <c r="R179" i="4"/>
  <c r="V179" i="4" s="1"/>
  <c r="S179" i="4"/>
  <c r="W179" i="4" s="1"/>
  <c r="S180" i="4" l="1"/>
  <c r="W180" i="4" s="1"/>
  <c r="Q180" i="4"/>
  <c r="U180" i="4" s="1"/>
  <c r="R180" i="4"/>
  <c r="V180" i="4" s="1"/>
  <c r="P180" i="4"/>
  <c r="T180" i="4" s="1"/>
  <c r="M181" i="4"/>
  <c r="O181" i="4" s="1"/>
  <c r="N182" i="4"/>
  <c r="N183" i="4" l="1"/>
  <c r="M182" i="4"/>
  <c r="O182" i="4" s="1"/>
  <c r="R181" i="4"/>
  <c r="V181" i="4" s="1"/>
  <c r="S181" i="4"/>
  <c r="W181" i="4" s="1"/>
  <c r="Q181" i="4"/>
  <c r="U181" i="4" s="1"/>
  <c r="P181" i="4"/>
  <c r="T181" i="4" s="1"/>
  <c r="Q182" i="4" l="1"/>
  <c r="U182" i="4" s="1"/>
  <c r="R182" i="4"/>
  <c r="V182" i="4" s="1"/>
  <c r="S182" i="4"/>
  <c r="W182" i="4" s="1"/>
  <c r="P182" i="4"/>
  <c r="T182" i="4" s="1"/>
  <c r="M183" i="4"/>
  <c r="O183" i="4" s="1"/>
  <c r="N184" i="4"/>
  <c r="N185" i="4" l="1"/>
  <c r="M184" i="4"/>
  <c r="O184" i="4" s="1"/>
  <c r="S183" i="4"/>
  <c r="W183" i="4" s="1"/>
  <c r="P183" i="4"/>
  <c r="T183" i="4" s="1"/>
  <c r="Q183" i="4"/>
  <c r="U183" i="4" s="1"/>
  <c r="R183" i="4"/>
  <c r="V183" i="4" s="1"/>
  <c r="P184" i="4" l="1"/>
  <c r="T184" i="4" s="1"/>
  <c r="R184" i="4"/>
  <c r="V184" i="4" s="1"/>
  <c r="S184" i="4"/>
  <c r="W184" i="4" s="1"/>
  <c r="Q184" i="4"/>
  <c r="U184" i="4" s="1"/>
  <c r="M185" i="4"/>
  <c r="O185" i="4" s="1"/>
  <c r="N186" i="4"/>
  <c r="M186" i="4" l="1"/>
  <c r="O186" i="4" s="1"/>
  <c r="N187" i="4"/>
  <c r="Q185" i="4"/>
  <c r="U185" i="4" s="1"/>
  <c r="P185" i="4"/>
  <c r="T185" i="4" s="1"/>
  <c r="S185" i="4"/>
  <c r="W185" i="4" s="1"/>
  <c r="R185" i="4"/>
  <c r="V185" i="4" s="1"/>
  <c r="N188" i="4" l="1"/>
  <c r="M187" i="4"/>
  <c r="O187" i="4" s="1"/>
  <c r="R186" i="4"/>
  <c r="V186" i="4" s="1"/>
  <c r="S186" i="4"/>
  <c r="W186" i="4" s="1"/>
  <c r="P186" i="4"/>
  <c r="T186" i="4" s="1"/>
  <c r="Q186" i="4"/>
  <c r="U186" i="4" s="1"/>
  <c r="S187" i="4" l="1"/>
  <c r="W187" i="4" s="1"/>
  <c r="Q187" i="4"/>
  <c r="U187" i="4" s="1"/>
  <c r="P187" i="4"/>
  <c r="T187" i="4" s="1"/>
  <c r="R187" i="4"/>
  <c r="V187" i="4" s="1"/>
  <c r="M188" i="4"/>
  <c r="O188" i="4" s="1"/>
  <c r="N189" i="4"/>
  <c r="M189" i="4" l="1"/>
  <c r="O189" i="4" s="1"/>
  <c r="N190" i="4"/>
  <c r="P188" i="4"/>
  <c r="T188" i="4" s="1"/>
  <c r="Q188" i="4"/>
  <c r="U188" i="4" s="1"/>
  <c r="R188" i="4"/>
  <c r="V188" i="4" s="1"/>
  <c r="S188" i="4"/>
  <c r="W188" i="4" s="1"/>
  <c r="M190" i="4" l="1"/>
  <c r="O190" i="4" s="1"/>
  <c r="N191" i="4"/>
  <c r="Q189" i="4"/>
  <c r="U189" i="4" s="1"/>
  <c r="S189" i="4"/>
  <c r="W189" i="4" s="1"/>
  <c r="R189" i="4"/>
  <c r="V189" i="4" s="1"/>
  <c r="P189" i="4"/>
  <c r="T189" i="4" s="1"/>
  <c r="N192" i="4" l="1"/>
  <c r="M191" i="4"/>
  <c r="O191" i="4" s="1"/>
  <c r="P190" i="4"/>
  <c r="T190" i="4" s="1"/>
  <c r="S190" i="4"/>
  <c r="W190" i="4" s="1"/>
  <c r="Q190" i="4"/>
  <c r="U190" i="4" s="1"/>
  <c r="R190" i="4"/>
  <c r="V190" i="4" s="1"/>
  <c r="Q191" i="4" l="1"/>
  <c r="U191" i="4" s="1"/>
  <c r="R191" i="4"/>
  <c r="V191" i="4" s="1"/>
  <c r="P191" i="4"/>
  <c r="T191" i="4" s="1"/>
  <c r="S191" i="4"/>
  <c r="W191" i="4" s="1"/>
  <c r="N193" i="4"/>
  <c r="M193" i="4" s="1"/>
  <c r="O193" i="4" s="1"/>
  <c r="M192" i="4"/>
  <c r="O192" i="4" s="1"/>
  <c r="S192" i="4" l="1"/>
  <c r="W192" i="4" s="1"/>
  <c r="P192" i="4"/>
  <c r="T192" i="4" s="1"/>
  <c r="Q192" i="4"/>
  <c r="U192" i="4" s="1"/>
  <c r="R192" i="4"/>
  <c r="V192" i="4" s="1"/>
  <c r="S193" i="4"/>
  <c r="W193" i="4" s="1"/>
  <c r="P193" i="4"/>
  <c r="T193" i="4" s="1"/>
  <c r="Q193" i="4"/>
  <c r="U193" i="4" s="1"/>
  <c r="R193" i="4"/>
  <c r="V193" i="4" s="1"/>
  <c r="V13" i="7"/>
  <c r="V14" i="7"/>
  <c r="V15" i="7" l="1"/>
  <c r="V16" i="7"/>
  <c r="V17" i="7" l="1"/>
  <c r="C26" i="7" s="1"/>
  <c r="C32" i="7" l="1"/>
  <c r="D32" i="7" s="1"/>
  <c r="M12" i="2"/>
  <c r="V18" i="7"/>
  <c r="W19" i="7"/>
  <c r="W20" i="7" l="1"/>
  <c r="V20" i="7" s="1"/>
  <c r="V19" i="7"/>
  <c r="C33" i="7"/>
  <c r="D33" i="7" s="1"/>
  <c r="W21" i="7" l="1"/>
  <c r="V21" i="7" l="1"/>
  <c r="V22" i="7" l="1"/>
  <c r="W24" i="7"/>
  <c r="W23" i="7"/>
  <c r="V23" i="7" s="1"/>
  <c r="O10" i="2" l="1"/>
  <c r="J38" i="2"/>
  <c r="M194" i="4"/>
  <c r="E25" i="7"/>
  <c r="C25" i="7"/>
  <c r="D25" i="7" s="1"/>
  <c r="J60" i="2"/>
  <c r="J59" i="2" s="1"/>
  <c r="W25" i="7"/>
  <c r="V24" i="7"/>
  <c r="K38" i="2" l="1"/>
  <c r="J37" i="2"/>
  <c r="J39" i="2"/>
  <c r="W28" i="7"/>
  <c r="V25" i="7"/>
  <c r="V28" i="7" l="1"/>
  <c r="W29" i="7"/>
  <c r="V29" i="7" s="1"/>
  <c r="K39" i="2"/>
  <c r="J40" i="2"/>
  <c r="H25" i="7"/>
  <c r="F25" i="7"/>
  <c r="G25" i="7" s="1"/>
  <c r="X194" i="4"/>
  <c r="R60" i="2"/>
  <c r="R59" i="2" s="1"/>
  <c r="K37" i="2"/>
  <c r="J36" i="2"/>
  <c r="L38" i="2"/>
  <c r="O38" i="2" s="1"/>
  <c r="N38" i="2"/>
  <c r="Q38" i="2" s="1"/>
  <c r="K36" i="2" l="1"/>
  <c r="J35" i="2"/>
  <c r="K40" i="2"/>
  <c r="J41" i="2"/>
  <c r="L39" i="2"/>
  <c r="O39" i="2" s="1"/>
  <c r="N39" i="2"/>
  <c r="Q39" i="2" s="1"/>
  <c r="E33" i="7"/>
  <c r="G33" i="7" s="1"/>
  <c r="N37" i="2"/>
  <c r="Q37" i="2" s="1"/>
  <c r="L37" i="2"/>
  <c r="O37" i="2" s="1"/>
  <c r="M13" i="2"/>
  <c r="E32" i="7"/>
  <c r="G32" i="7" s="1"/>
  <c r="K41" i="2" l="1"/>
  <c r="J42" i="2"/>
  <c r="M36" i="2"/>
  <c r="P36" i="2" s="1"/>
  <c r="M38" i="2"/>
  <c r="P38" i="2" s="1"/>
  <c r="M39" i="2"/>
  <c r="P39" i="2" s="1"/>
  <c r="M37" i="2"/>
  <c r="P37" i="2" s="1"/>
  <c r="M41" i="2"/>
  <c r="P41" i="2" s="1"/>
  <c r="M40" i="2"/>
  <c r="P40" i="2" s="1"/>
  <c r="L40" i="2"/>
  <c r="O40" i="2" s="1"/>
  <c r="N40" i="2"/>
  <c r="Q40" i="2" s="1"/>
  <c r="J34" i="2"/>
  <c r="K35" i="2"/>
  <c r="M35" i="2" s="1"/>
  <c r="P35" i="2" s="1"/>
  <c r="L36" i="2"/>
  <c r="O36" i="2" s="1"/>
  <c r="N36" i="2"/>
  <c r="Q36" i="2" s="1"/>
  <c r="K34" i="2" l="1"/>
  <c r="J33" i="2"/>
  <c r="L35" i="2"/>
  <c r="O35" i="2" s="1"/>
  <c r="N35" i="2"/>
  <c r="Q35" i="2" s="1"/>
  <c r="J43" i="2"/>
  <c r="K42" i="2"/>
  <c r="N41" i="2"/>
  <c r="Q41" i="2" s="1"/>
  <c r="L41" i="2"/>
  <c r="O41" i="2" s="1"/>
  <c r="N42" i="2" l="1"/>
  <c r="Q42" i="2" s="1"/>
  <c r="L42" i="2"/>
  <c r="O42" i="2" s="1"/>
  <c r="M42" i="2"/>
  <c r="P42" i="2" s="1"/>
  <c r="J44" i="2"/>
  <c r="K43" i="2"/>
  <c r="J32" i="2"/>
  <c r="K33" i="2"/>
  <c r="L34" i="2"/>
  <c r="O34" i="2" s="1"/>
  <c r="N34" i="2"/>
  <c r="Q34" i="2" s="1"/>
  <c r="M34" i="2"/>
  <c r="P34" i="2" s="1"/>
  <c r="N33" i="2" l="1"/>
  <c r="Q33" i="2" s="1"/>
  <c r="L33" i="2"/>
  <c r="O33" i="2" s="1"/>
  <c r="M33" i="2"/>
  <c r="P33" i="2" s="1"/>
  <c r="K32" i="2"/>
  <c r="J31" i="2"/>
  <c r="N43" i="2"/>
  <c r="Q43" i="2" s="1"/>
  <c r="L43" i="2"/>
  <c r="O43" i="2" s="1"/>
  <c r="M43" i="2"/>
  <c r="P43" i="2" s="1"/>
  <c r="J45" i="2"/>
  <c r="K44" i="2"/>
  <c r="J30" i="2" l="1"/>
  <c r="K31" i="2"/>
  <c r="N32" i="2"/>
  <c r="Q32" i="2" s="1"/>
  <c r="L32" i="2"/>
  <c r="O32" i="2" s="1"/>
  <c r="M32" i="2"/>
  <c r="P32" i="2" s="1"/>
  <c r="L44" i="2"/>
  <c r="O44" i="2" s="1"/>
  <c r="N44" i="2"/>
  <c r="Q44" i="2" s="1"/>
  <c r="M44" i="2"/>
  <c r="P44" i="2" s="1"/>
  <c r="J46" i="2"/>
  <c r="K45" i="2"/>
  <c r="L45" i="2" l="1"/>
  <c r="O45" i="2" s="1"/>
  <c r="N45" i="2"/>
  <c r="Q45" i="2" s="1"/>
  <c r="M45" i="2"/>
  <c r="P45" i="2" s="1"/>
  <c r="L31" i="2"/>
  <c r="O31" i="2" s="1"/>
  <c r="N31" i="2"/>
  <c r="Q31" i="2" s="1"/>
  <c r="M31" i="2"/>
  <c r="P31" i="2" s="1"/>
  <c r="J47" i="2"/>
  <c r="K46" i="2"/>
  <c r="K30" i="2"/>
  <c r="J29" i="2"/>
  <c r="L46" i="2" l="1"/>
  <c r="O46" i="2" s="1"/>
  <c r="N46" i="2"/>
  <c r="Q46" i="2" s="1"/>
  <c r="M46" i="2"/>
  <c r="P46" i="2" s="1"/>
  <c r="K47" i="2"/>
  <c r="J48" i="2"/>
  <c r="J28" i="2"/>
  <c r="K29" i="2"/>
  <c r="L30" i="2"/>
  <c r="O30" i="2" s="1"/>
  <c r="N30" i="2"/>
  <c r="Q30" i="2" s="1"/>
  <c r="M30" i="2"/>
  <c r="P30" i="2" s="1"/>
  <c r="L29" i="2" l="1"/>
  <c r="O29" i="2" s="1"/>
  <c r="N29" i="2"/>
  <c r="Q29" i="2" s="1"/>
  <c r="M29" i="2"/>
  <c r="P29" i="2" s="1"/>
  <c r="K28" i="2"/>
  <c r="J27" i="2"/>
  <c r="K48" i="2"/>
  <c r="J49" i="2"/>
  <c r="L47" i="2"/>
  <c r="O47" i="2" s="1"/>
  <c r="N47" i="2"/>
  <c r="Q47" i="2" s="1"/>
  <c r="M47" i="2"/>
  <c r="P47" i="2" s="1"/>
  <c r="K49" i="2" l="1"/>
  <c r="J50" i="2"/>
  <c r="L48" i="2"/>
  <c r="O48" i="2" s="1"/>
  <c r="N48" i="2"/>
  <c r="Q48" i="2" s="1"/>
  <c r="M48" i="2"/>
  <c r="P48" i="2" s="1"/>
  <c r="J26" i="2"/>
  <c r="K27" i="2"/>
  <c r="L28" i="2"/>
  <c r="O28" i="2" s="1"/>
  <c r="N28" i="2"/>
  <c r="Q28" i="2" s="1"/>
  <c r="M28" i="2"/>
  <c r="P28" i="2" s="1"/>
  <c r="L27" i="2" l="1"/>
  <c r="O27" i="2" s="1"/>
  <c r="N27" i="2"/>
  <c r="Q27" i="2" s="1"/>
  <c r="M27" i="2"/>
  <c r="P27" i="2" s="1"/>
  <c r="K26" i="2"/>
  <c r="J25" i="2"/>
  <c r="J51" i="2"/>
  <c r="K50" i="2"/>
  <c r="N49" i="2"/>
  <c r="Q49" i="2" s="1"/>
  <c r="L49" i="2"/>
  <c r="O49" i="2" s="1"/>
  <c r="M49" i="2"/>
  <c r="P49" i="2" s="1"/>
  <c r="N50" i="2" l="1"/>
  <c r="Q50" i="2" s="1"/>
  <c r="L50" i="2"/>
  <c r="O50" i="2" s="1"/>
  <c r="M50" i="2"/>
  <c r="P50" i="2" s="1"/>
  <c r="J52" i="2"/>
  <c r="K51" i="2"/>
  <c r="K25" i="2"/>
  <c r="J24" i="2"/>
  <c r="N26" i="2"/>
  <c r="Q26" i="2" s="1"/>
  <c r="L26" i="2"/>
  <c r="O26" i="2" s="1"/>
  <c r="M26" i="2"/>
  <c r="P26" i="2" s="1"/>
  <c r="K24" i="2" l="1"/>
  <c r="J23" i="2"/>
  <c r="N25" i="2"/>
  <c r="Q25" i="2" s="1"/>
  <c r="L25" i="2"/>
  <c r="O25" i="2" s="1"/>
  <c r="M25" i="2"/>
  <c r="P25" i="2" s="1"/>
  <c r="L51" i="2"/>
  <c r="O51" i="2" s="1"/>
  <c r="N51" i="2"/>
  <c r="Q51" i="2" s="1"/>
  <c r="M51" i="2"/>
  <c r="P51" i="2" s="1"/>
  <c r="J53" i="2"/>
  <c r="K52" i="2"/>
  <c r="L52" i="2" l="1"/>
  <c r="O52" i="2" s="1"/>
  <c r="N52" i="2"/>
  <c r="Q52" i="2" s="1"/>
  <c r="M52" i="2"/>
  <c r="P52" i="2" s="1"/>
  <c r="J22" i="2"/>
  <c r="K23" i="2"/>
  <c r="J54" i="2"/>
  <c r="K53" i="2"/>
  <c r="N24" i="2"/>
  <c r="Q24" i="2" s="1"/>
  <c r="L24" i="2"/>
  <c r="O24" i="2" s="1"/>
  <c r="M24" i="2"/>
  <c r="P24" i="2" s="1"/>
  <c r="N53" i="2" l="1"/>
  <c r="Q53" i="2" s="1"/>
  <c r="L53" i="2"/>
  <c r="O53" i="2" s="1"/>
  <c r="M53" i="2"/>
  <c r="P53" i="2" s="1"/>
  <c r="K54" i="2"/>
  <c r="J55" i="2"/>
  <c r="N23" i="2"/>
  <c r="Q23" i="2" s="1"/>
  <c r="L23" i="2"/>
  <c r="O23" i="2" s="1"/>
  <c r="M23" i="2"/>
  <c r="P23" i="2" s="1"/>
  <c r="K22" i="2"/>
  <c r="J21" i="2"/>
  <c r="J56" i="2" l="1"/>
  <c r="K55" i="2"/>
  <c r="L54" i="2"/>
  <c r="O54" i="2" s="1"/>
  <c r="N54" i="2"/>
  <c r="Q54" i="2" s="1"/>
  <c r="M54" i="2"/>
  <c r="P54" i="2" s="1"/>
  <c r="J20" i="2"/>
  <c r="K21" i="2"/>
  <c r="L22" i="2"/>
  <c r="O22" i="2" s="1"/>
  <c r="N22" i="2"/>
  <c r="Q22" i="2" s="1"/>
  <c r="M22" i="2"/>
  <c r="P22" i="2" s="1"/>
  <c r="N21" i="2" l="1"/>
  <c r="Q21" i="2" s="1"/>
  <c r="L21" i="2"/>
  <c r="O21" i="2" s="1"/>
  <c r="M21" i="2"/>
  <c r="P21" i="2" s="1"/>
  <c r="K20" i="2"/>
  <c r="J19" i="2"/>
  <c r="L55" i="2"/>
  <c r="O55" i="2" s="1"/>
  <c r="N55" i="2"/>
  <c r="Q55" i="2" s="1"/>
  <c r="M55" i="2"/>
  <c r="P55" i="2" s="1"/>
  <c r="J57" i="2"/>
  <c r="K56" i="2"/>
  <c r="J18" i="2" l="1"/>
  <c r="K18" i="2" s="1"/>
  <c r="K19" i="2"/>
  <c r="N20" i="2"/>
  <c r="Q20" i="2" s="1"/>
  <c r="L20" i="2"/>
  <c r="O20" i="2" s="1"/>
  <c r="M20" i="2"/>
  <c r="P20" i="2" s="1"/>
  <c r="N56" i="2"/>
  <c r="Q56" i="2" s="1"/>
  <c r="L56" i="2"/>
  <c r="O56" i="2" s="1"/>
  <c r="M56" i="2"/>
  <c r="P56" i="2" s="1"/>
  <c r="K57" i="2"/>
  <c r="J58" i="2"/>
  <c r="K58" i="2" s="1"/>
  <c r="N58" i="2" l="1"/>
  <c r="Q58" i="2" s="1"/>
  <c r="L58" i="2"/>
  <c r="O58" i="2" s="1"/>
  <c r="M58" i="2"/>
  <c r="P58" i="2" s="1"/>
  <c r="N19" i="2"/>
  <c r="Q19" i="2" s="1"/>
  <c r="L19" i="2"/>
  <c r="O19" i="2" s="1"/>
  <c r="M19" i="2"/>
  <c r="P19" i="2" s="1"/>
  <c r="N57" i="2"/>
  <c r="Q57" i="2" s="1"/>
  <c r="L57" i="2"/>
  <c r="O57" i="2" s="1"/>
  <c r="M57" i="2"/>
  <c r="P57" i="2" s="1"/>
  <c r="N18" i="2"/>
  <c r="Q18" i="2" s="1"/>
  <c r="L18" i="2"/>
  <c r="O18" i="2" s="1"/>
  <c r="M18" i="2"/>
  <c r="P18" i="2" s="1"/>
</calcChain>
</file>

<file path=xl/sharedStrings.xml><?xml version="1.0" encoding="utf-8"?>
<sst xmlns="http://schemas.openxmlformats.org/spreadsheetml/2006/main" count="186" uniqueCount="175">
  <si>
    <t>Datum:</t>
  </si>
  <si>
    <t>Uhrzeit UT1:</t>
  </si>
  <si>
    <t>Sextantenablesung:</t>
  </si>
  <si>
    <t>Grad</t>
  </si>
  <si>
    <t>UR</t>
  </si>
  <si>
    <t xml:space="preserve">Indexberichtigung Beob. 1: </t>
  </si>
  <si>
    <t xml:space="preserve">Indexberichtigung Beob. 2: </t>
  </si>
  <si>
    <t>h</t>
  </si>
  <si>
    <t xml:space="preserve">Schiffsmittag: </t>
  </si>
  <si>
    <t>U</t>
  </si>
  <si>
    <t>Sextantenablesung :</t>
  </si>
  <si>
    <t>Gesamtbeschickung :</t>
  </si>
  <si>
    <t>Zusatzbeschickung :</t>
  </si>
  <si>
    <t>Indexberichtigung :</t>
  </si>
  <si>
    <t>Bogenmaß :</t>
  </si>
  <si>
    <t>beobachtete Höhe:</t>
  </si>
  <si>
    <t>Grad Minuten :</t>
  </si>
  <si>
    <t>Zeit UT1:</t>
  </si>
  <si>
    <t>Greenwichwinkel Grt:</t>
  </si>
  <si>
    <r>
      <t xml:space="preserve">Deklination </t>
    </r>
    <r>
      <rPr>
        <sz val="11"/>
        <color theme="1"/>
        <rFont val="Symbol"/>
        <charset val="2"/>
      </rPr>
      <t>d</t>
    </r>
    <r>
      <rPr>
        <sz val="11"/>
        <color theme="1"/>
        <rFont val="Helvetica Neue"/>
        <family val="2"/>
      </rPr>
      <t>:</t>
    </r>
  </si>
  <si>
    <t>LHA:</t>
  </si>
  <si>
    <t>beobachtete Höhe h:</t>
  </si>
  <si>
    <t>Bezeichnung</t>
  </si>
  <si>
    <t xml:space="preserve">LHA = </t>
  </si>
  <si>
    <t>Azimut Az:</t>
  </si>
  <si>
    <t>UTC</t>
  </si>
  <si>
    <t>F =</t>
  </si>
  <si>
    <t>W =</t>
  </si>
  <si>
    <t>G =</t>
  </si>
  <si>
    <r>
      <rPr>
        <sz val="12"/>
        <color theme="1"/>
        <rFont val="Symbol"/>
        <charset val="2"/>
      </rPr>
      <t>j</t>
    </r>
    <r>
      <rPr>
        <sz val="12"/>
        <color theme="1"/>
        <rFont val="Calibri"/>
        <family val="2"/>
        <charset val="2"/>
        <scheme val="minor"/>
      </rPr>
      <t xml:space="preserve"> =</t>
    </r>
  </si>
  <si>
    <t>z =</t>
  </si>
  <si>
    <r>
      <rPr>
        <sz val="12"/>
        <color theme="1"/>
        <rFont val="Symbol"/>
        <charset val="2"/>
      </rPr>
      <t>t</t>
    </r>
    <r>
      <rPr>
        <sz val="12"/>
        <color theme="1"/>
        <rFont val="Calibri"/>
        <family val="2"/>
        <scheme val="minor"/>
      </rPr>
      <t xml:space="preserve"> =</t>
    </r>
  </si>
  <si>
    <t>distance made good:</t>
  </si>
  <si>
    <t>course made good:</t>
  </si>
  <si>
    <t xml:space="preserve">LHA' = </t>
  </si>
  <si>
    <t xml:space="preserve">z' = </t>
  </si>
  <si>
    <t>V =</t>
  </si>
  <si>
    <t>h_</t>
  </si>
  <si>
    <r>
      <rPr>
        <sz val="12"/>
        <color theme="1"/>
        <rFont val="Symbol"/>
        <charset val="2"/>
      </rPr>
      <t>q</t>
    </r>
    <r>
      <rPr>
        <sz val="12"/>
        <color theme="1"/>
        <rFont val="Calibri"/>
        <family val="2"/>
        <charset val="2"/>
        <scheme val="minor"/>
      </rPr>
      <t xml:space="preserve"> =</t>
    </r>
  </si>
  <si>
    <r>
      <rPr>
        <sz val="12"/>
        <color theme="1"/>
        <rFont val="Symbol"/>
        <charset val="2"/>
      </rPr>
      <t>l</t>
    </r>
    <r>
      <rPr>
        <sz val="12"/>
        <color theme="1"/>
        <rFont val="Calibri"/>
        <family val="2"/>
        <charset val="2"/>
        <scheme val="minor"/>
      </rPr>
      <t>* =</t>
    </r>
  </si>
  <si>
    <t xml:space="preserve">hs = </t>
  </si>
  <si>
    <t>Ws =</t>
  </si>
  <si>
    <t>Gs =</t>
  </si>
  <si>
    <r>
      <rPr>
        <sz val="12"/>
        <color theme="1"/>
        <rFont val="Symbol"/>
        <charset val="2"/>
      </rPr>
      <t>l</t>
    </r>
    <r>
      <rPr>
        <sz val="12"/>
        <color theme="1"/>
        <rFont val="Calibri (Textkörper)"/>
      </rPr>
      <t xml:space="preserve">s = </t>
    </r>
  </si>
  <si>
    <t>radiant</t>
  </si>
  <si>
    <t>Symbol</t>
  </si>
  <si>
    <t>Obs. 1</t>
  </si>
  <si>
    <t>Obs. 2</t>
  </si>
  <si>
    <t>P</t>
  </si>
  <si>
    <t>COP 1</t>
  </si>
  <si>
    <t>COP 2</t>
  </si>
  <si>
    <t>Info for COP 2</t>
  </si>
  <si>
    <t>Position</t>
  </si>
  <si>
    <t>Standort und Versegelung</t>
  </si>
  <si>
    <t>Kennwort:     change</t>
  </si>
  <si>
    <t xml:space="preserve">Breitenbereich: </t>
  </si>
  <si>
    <t>versegelter Kurs:</t>
  </si>
  <si>
    <t>versegelte Strecke s:</t>
  </si>
  <si>
    <t>nm</t>
  </si>
  <si>
    <r>
      <t xml:space="preserve">versegelte Breite </t>
    </r>
    <r>
      <rPr>
        <sz val="12"/>
        <color theme="1"/>
        <rFont val="Symbol"/>
        <charset val="2"/>
      </rPr>
      <t>Dj</t>
    </r>
    <r>
      <rPr>
        <sz val="12"/>
        <color theme="1"/>
        <rFont val="Helvetica Neue"/>
        <family val="2"/>
      </rPr>
      <t>:</t>
    </r>
  </si>
  <si>
    <t xml:space="preserve">Schrittweite Breite: </t>
  </si>
  <si>
    <t>LHA° :</t>
  </si>
  <si>
    <t>LHA°_ :</t>
  </si>
  <si>
    <t>Standortgrafikbereich</t>
  </si>
  <si>
    <t>j</t>
  </si>
  <si>
    <t>lv</t>
  </si>
  <si>
    <r>
      <rPr>
        <sz val="12"/>
        <color theme="1"/>
        <rFont val="Symbol"/>
        <charset val="2"/>
      </rPr>
      <t>t</t>
    </r>
    <r>
      <rPr>
        <sz val="12"/>
        <color theme="1"/>
        <rFont val="Calibri (Textkörper)"/>
      </rPr>
      <t>s =</t>
    </r>
    <r>
      <rPr>
        <sz val="12"/>
        <color theme="1"/>
        <rFont val="Calibri"/>
        <family val="2"/>
        <charset val="2"/>
      </rPr>
      <t xml:space="preserve"> </t>
    </r>
  </si>
  <si>
    <r>
      <rPr>
        <sz val="12"/>
        <color theme="1"/>
        <rFont val="Symbol"/>
        <charset val="2"/>
      </rPr>
      <t>j</t>
    </r>
    <r>
      <rPr>
        <sz val="12"/>
        <color theme="1"/>
        <rFont val="Calibri (Textkörper)"/>
      </rPr>
      <t>s =</t>
    </r>
    <r>
      <rPr>
        <sz val="12"/>
        <color theme="1"/>
        <rFont val="Calibri"/>
        <family val="2"/>
        <charset val="2"/>
      </rPr>
      <t xml:space="preserve"> </t>
    </r>
  </si>
  <si>
    <r>
      <t>l</t>
    </r>
    <r>
      <rPr>
        <sz val="12"/>
        <color rgb="FF000000"/>
        <rFont val="Calibri (Textkörper)"/>
      </rPr>
      <t>*s =</t>
    </r>
    <r>
      <rPr>
        <sz val="12"/>
        <color rgb="FF000000"/>
        <rFont val="Symbol"/>
        <charset val="2"/>
      </rPr>
      <t xml:space="preserve"> </t>
    </r>
  </si>
  <si>
    <r>
      <t>versegelte Länge</t>
    </r>
    <r>
      <rPr>
        <sz val="12"/>
        <color theme="1"/>
        <rFont val="Symbol"/>
        <charset val="2"/>
      </rPr>
      <t xml:space="preserve"> Dl</t>
    </r>
    <r>
      <rPr>
        <sz val="12"/>
        <color theme="1"/>
        <rFont val="Helvetica Neue"/>
        <family val="2"/>
      </rPr>
      <t>:</t>
    </r>
  </si>
  <si>
    <r>
      <rPr>
        <sz val="12"/>
        <rFont val="Symbol"/>
        <charset val="2"/>
      </rPr>
      <t>j</t>
    </r>
    <r>
      <rPr>
        <sz val="9"/>
        <rFont val="Calibri"/>
        <family val="2"/>
      </rPr>
      <t>rad</t>
    </r>
  </si>
  <si>
    <r>
      <t>P</t>
    </r>
    <r>
      <rPr>
        <sz val="9"/>
        <rFont val="Symbol"/>
        <charset val="2"/>
      </rPr>
      <t>l</t>
    </r>
    <r>
      <rPr>
        <sz val="9"/>
        <rFont val="Helvetica Neue"/>
        <family val="2"/>
      </rPr>
      <t>1</t>
    </r>
  </si>
  <si>
    <r>
      <t>P</t>
    </r>
    <r>
      <rPr>
        <sz val="9"/>
        <rFont val="Symbol"/>
        <charset val="2"/>
      </rPr>
      <t>l</t>
    </r>
    <r>
      <rPr>
        <sz val="9"/>
        <rFont val="Helvetica Neue"/>
        <family val="2"/>
      </rPr>
      <t>2</t>
    </r>
  </si>
  <si>
    <r>
      <t>P</t>
    </r>
    <r>
      <rPr>
        <sz val="9"/>
        <rFont val="Symbol"/>
        <charset val="2"/>
      </rPr>
      <t>l</t>
    </r>
    <r>
      <rPr>
        <sz val="9"/>
        <rFont val="Calibri (Textkörper)"/>
      </rPr>
      <t>S</t>
    </r>
  </si>
  <si>
    <r>
      <rPr>
        <sz val="12"/>
        <rFont val="Symbol"/>
        <charset val="2"/>
      </rPr>
      <t>l</t>
    </r>
    <r>
      <rPr>
        <sz val="9"/>
        <rFont val="Helvetica Neue"/>
        <family val="2"/>
      </rPr>
      <t>1</t>
    </r>
  </si>
  <si>
    <r>
      <rPr>
        <sz val="12"/>
        <rFont val="Symbol"/>
        <charset val="2"/>
      </rPr>
      <t>l</t>
    </r>
    <r>
      <rPr>
        <sz val="9"/>
        <rFont val="Helvetica Neue"/>
        <family val="2"/>
      </rPr>
      <t>2</t>
    </r>
  </si>
  <si>
    <t>DMG</t>
  </si>
  <si>
    <r>
      <t xml:space="preserve">versegelte </t>
    </r>
    <r>
      <rPr>
        <sz val="14"/>
        <color theme="1"/>
        <rFont val="Symbol"/>
        <charset val="2"/>
      </rPr>
      <t xml:space="preserve">l </t>
    </r>
    <r>
      <rPr>
        <sz val="14"/>
        <color theme="1"/>
        <rFont val="Helvetica Neue"/>
        <family val="2"/>
      </rPr>
      <t>und</t>
    </r>
    <r>
      <rPr>
        <sz val="14"/>
        <color theme="1"/>
        <rFont val="Symbol"/>
        <charset val="2"/>
      </rPr>
      <t xml:space="preserve"> j</t>
    </r>
    <r>
      <rPr>
        <sz val="14"/>
        <color theme="1"/>
        <rFont val="Helvetica Neue"/>
        <family val="2"/>
      </rPr>
      <t xml:space="preserve"> für die Standortgrafik</t>
    </r>
  </si>
  <si>
    <r>
      <t>L</t>
    </r>
    <r>
      <rPr>
        <sz val="8"/>
        <color theme="1"/>
        <rFont val="Calibri (Textkörper)_x0000_"/>
      </rPr>
      <t>rad</t>
    </r>
    <r>
      <rPr>
        <sz val="12"/>
        <color theme="1"/>
        <rFont val="Calibri"/>
        <family val="2"/>
        <scheme val="minor"/>
      </rPr>
      <t xml:space="preserve"> = </t>
    </r>
  </si>
  <si>
    <t xml:space="preserve">T = </t>
  </si>
  <si>
    <t xml:space="preserve">L = </t>
  </si>
  <si>
    <r>
      <t>𝜛</t>
    </r>
    <r>
      <rPr>
        <sz val="8"/>
        <color theme="1"/>
        <rFont val="Calibri (Textkörper)_x0000_"/>
      </rPr>
      <t>rad</t>
    </r>
    <r>
      <rPr>
        <sz val="12"/>
        <color theme="1"/>
        <rFont val="Calibri"/>
        <family val="2"/>
        <scheme val="minor"/>
      </rPr>
      <t xml:space="preserve"> = </t>
    </r>
  </si>
  <si>
    <t>M =</t>
  </si>
  <si>
    <t xml:space="preserve">e = </t>
  </si>
  <si>
    <r>
      <t>e</t>
    </r>
    <r>
      <rPr>
        <sz val="8"/>
        <color theme="1"/>
        <rFont val="Calibri (Textkörper)"/>
      </rPr>
      <t>rad</t>
    </r>
    <r>
      <rPr>
        <sz val="12"/>
        <color theme="1"/>
        <rFont val="Symbol"/>
        <charset val="2"/>
      </rPr>
      <t xml:space="preserve"> = </t>
    </r>
  </si>
  <si>
    <r>
      <t>g</t>
    </r>
    <r>
      <rPr>
        <sz val="8"/>
        <color theme="1"/>
        <rFont val="Calibri (Textkörper)_x0000_"/>
      </rPr>
      <t>rad</t>
    </r>
    <r>
      <rPr>
        <sz val="12"/>
        <color theme="1"/>
        <rFont val="Calibri"/>
        <family val="2"/>
        <scheme val="minor"/>
      </rPr>
      <t xml:space="preserve"> = </t>
    </r>
  </si>
  <si>
    <t xml:space="preserve">d = </t>
  </si>
  <si>
    <t xml:space="preserve">d° = </t>
  </si>
  <si>
    <t xml:space="preserve">_A1 = </t>
  </si>
  <si>
    <t xml:space="preserve">_A2 = </t>
  </si>
  <si>
    <t xml:space="preserve">_A3 = </t>
  </si>
  <si>
    <t xml:space="preserve">_A4 = </t>
  </si>
  <si>
    <t xml:space="preserve">_B1 = </t>
  </si>
  <si>
    <t xml:space="preserve">_B2 = </t>
  </si>
  <si>
    <t xml:space="preserve">_B3 = </t>
  </si>
  <si>
    <t xml:space="preserve">_B4 = </t>
  </si>
  <si>
    <t>Einstellungen</t>
  </si>
  <si>
    <t>Messung 1</t>
  </si>
  <si>
    <t>Versegelung</t>
  </si>
  <si>
    <t>Messung 2</t>
  </si>
  <si>
    <t>Ergebnis</t>
  </si>
  <si>
    <t>Zusatzinformationen</t>
  </si>
  <si>
    <t>Bahnparameter</t>
  </si>
  <si>
    <t>Zusatzbeschickung</t>
  </si>
  <si>
    <t>gewählt:</t>
  </si>
  <si>
    <t>Monat</t>
  </si>
  <si>
    <t xml:space="preserve">Grt = </t>
  </si>
  <si>
    <t xml:space="preserve">Grt° = </t>
  </si>
  <si>
    <t xml:space="preserve">C = </t>
  </si>
  <si>
    <t xml:space="preserve">Grt0 = </t>
  </si>
  <si>
    <t xml:space="preserve">Dat ref = </t>
  </si>
  <si>
    <t xml:space="preserve">eigene Standortbreite : </t>
  </si>
  <si>
    <t>Position calculation</t>
  </si>
  <si>
    <r>
      <rPr>
        <sz val="12"/>
        <color theme="1"/>
        <rFont val="Symbol"/>
        <charset val="2"/>
      </rPr>
      <t>j</t>
    </r>
    <r>
      <rPr>
        <vertAlign val="subscript"/>
        <sz val="12"/>
        <color theme="1"/>
        <rFont val="Helvetica Neue"/>
        <family val="2"/>
      </rPr>
      <t>W-1</t>
    </r>
  </si>
  <si>
    <r>
      <rPr>
        <sz val="12"/>
        <color theme="1"/>
        <rFont val="Symbol"/>
        <charset val="2"/>
      </rPr>
      <t>j</t>
    </r>
    <r>
      <rPr>
        <vertAlign val="subscript"/>
        <sz val="12"/>
        <color theme="1"/>
        <rFont val="Helvetica Neue"/>
        <family val="2"/>
      </rPr>
      <t>rad</t>
    </r>
  </si>
  <si>
    <r>
      <t>P</t>
    </r>
    <r>
      <rPr>
        <sz val="12"/>
        <color theme="1"/>
        <rFont val="Symbol"/>
        <charset val="2"/>
      </rPr>
      <t>l</t>
    </r>
    <r>
      <rPr>
        <vertAlign val="subscript"/>
        <sz val="12"/>
        <color theme="1"/>
        <rFont val="Helvetica Neue"/>
        <family val="2"/>
      </rPr>
      <t>1</t>
    </r>
  </si>
  <si>
    <r>
      <t>P</t>
    </r>
    <r>
      <rPr>
        <sz val="12"/>
        <color theme="1"/>
        <rFont val="Symbol"/>
        <charset val="2"/>
      </rPr>
      <t>l</t>
    </r>
    <r>
      <rPr>
        <vertAlign val="subscript"/>
        <sz val="12"/>
        <color theme="1"/>
        <rFont val="Helvetica Neue"/>
        <family val="2"/>
      </rPr>
      <t>1s</t>
    </r>
  </si>
  <si>
    <r>
      <t>P</t>
    </r>
    <r>
      <rPr>
        <sz val="12"/>
        <color theme="1"/>
        <rFont val="Symbol"/>
        <charset val="2"/>
      </rPr>
      <t>l</t>
    </r>
    <r>
      <rPr>
        <vertAlign val="subscript"/>
        <sz val="12"/>
        <color theme="1"/>
        <rFont val="Helvetica Neue"/>
        <family val="2"/>
      </rPr>
      <t>2</t>
    </r>
  </si>
  <si>
    <r>
      <t>P</t>
    </r>
    <r>
      <rPr>
        <sz val="12"/>
        <color theme="1"/>
        <rFont val="Symbol"/>
        <charset val="2"/>
      </rPr>
      <t>l</t>
    </r>
    <r>
      <rPr>
        <vertAlign val="subscript"/>
        <sz val="12"/>
        <color theme="1"/>
        <rFont val="Helvetica Neue"/>
        <family val="2"/>
      </rPr>
      <t>2s</t>
    </r>
  </si>
  <si>
    <r>
      <rPr>
        <sz val="12"/>
        <color theme="1"/>
        <rFont val="Symbol"/>
        <charset val="2"/>
      </rPr>
      <t>l</t>
    </r>
    <r>
      <rPr>
        <vertAlign val="subscript"/>
        <sz val="12"/>
        <color theme="1"/>
        <rFont val="Helvetica Neue"/>
        <family val="2"/>
      </rPr>
      <t>1</t>
    </r>
  </si>
  <si>
    <r>
      <rPr>
        <sz val="12"/>
        <color theme="1"/>
        <rFont val="Symbol"/>
        <charset val="2"/>
      </rPr>
      <t>l</t>
    </r>
    <r>
      <rPr>
        <vertAlign val="subscript"/>
        <sz val="12"/>
        <color theme="1"/>
        <rFont val="Helvetica Neue"/>
        <family val="2"/>
      </rPr>
      <t>1s</t>
    </r>
  </si>
  <si>
    <r>
      <rPr>
        <sz val="12"/>
        <color theme="1"/>
        <rFont val="Symbol"/>
        <charset val="2"/>
      </rPr>
      <t>l</t>
    </r>
    <r>
      <rPr>
        <vertAlign val="subscript"/>
        <sz val="12"/>
        <color theme="1"/>
        <rFont val="Helvetica Neue"/>
        <family val="2"/>
      </rPr>
      <t>2</t>
    </r>
  </si>
  <si>
    <r>
      <rPr>
        <sz val="12"/>
        <color theme="1"/>
        <rFont val="Symbol"/>
        <charset val="2"/>
      </rPr>
      <t>l</t>
    </r>
    <r>
      <rPr>
        <vertAlign val="subscript"/>
        <sz val="12"/>
        <color theme="1"/>
        <rFont val="Helvetica Neue"/>
        <family val="2"/>
      </rPr>
      <t>2s</t>
    </r>
  </si>
  <si>
    <t>Schrittweiten in der Grafik</t>
  </si>
  <si>
    <t xml:space="preserve">Nordausdehnung grosser Kreis: </t>
  </si>
  <si>
    <t xml:space="preserve">Südausdehnung grosser Kreis: </t>
  </si>
  <si>
    <t xml:space="preserve">Nordausdehnung kleiner Kreis: </t>
  </si>
  <si>
    <t xml:space="preserve">Südausdehnung kleiner Kreis: </t>
  </si>
  <si>
    <t>Nordausdehnung wenn nur ein Kreis:</t>
  </si>
  <si>
    <t>Südausdehnung wenn nur ein Kreis:</t>
  </si>
  <si>
    <t>Durchmesser großer Kreis:</t>
  </si>
  <si>
    <t>Durchmesser kleiner Kreis:</t>
  </si>
  <si>
    <t>gegebene Stufenanzahl für gr. Kreis:</t>
  </si>
  <si>
    <t>proprtionale Stufenzakl für kl. Kreis:</t>
  </si>
  <si>
    <t>halbe Stufendifferenz (oben/ unten):</t>
  </si>
  <si>
    <t>Schrittweite in der Breite:</t>
  </si>
  <si>
    <t>Grafik Global</t>
  </si>
  <si>
    <t>Grafikberechnung</t>
  </si>
  <si>
    <t>globale Grafik</t>
  </si>
  <si>
    <t>Pos.</t>
  </si>
  <si>
    <t xml:space="preserve"> Sonnenrand Beob. 1: </t>
  </si>
  <si>
    <t xml:space="preserve"> Sonnenrand Beob. 2: </t>
  </si>
  <si>
    <t>Sun</t>
  </si>
  <si>
    <t>Beschickung der Sextantenablesung</t>
  </si>
  <si>
    <t>Sonnenpositionen</t>
  </si>
  <si>
    <t>sun navigation</t>
  </si>
  <si>
    <r>
      <t xml:space="preserve">Passwort:  </t>
    </r>
    <r>
      <rPr>
        <b/>
        <sz val="16"/>
        <rFont val="Helvetica Neue"/>
        <family val="2"/>
      </rPr>
      <t>change</t>
    </r>
  </si>
  <si>
    <t xml:space="preserve"> m</t>
  </si>
  <si>
    <t>Navigieren mit Gauß</t>
  </si>
  <si>
    <t>N</t>
  </si>
  <si>
    <t>Standortgrafik</t>
  </si>
  <si>
    <t>V</t>
  </si>
  <si>
    <t>G</t>
  </si>
  <si>
    <t>tau</t>
  </si>
  <si>
    <t>Gs</t>
  </si>
  <si>
    <t>taus</t>
  </si>
  <si>
    <t xml:space="preserve">TT.MM.JJ: </t>
  </si>
  <si>
    <t xml:space="preserve">Augeshöhe: </t>
  </si>
  <si>
    <t xml:space="preserve"> NM</t>
  </si>
  <si>
    <t>Name</t>
  </si>
  <si>
    <t>F</t>
  </si>
  <si>
    <t>W</t>
  </si>
  <si>
    <t>_l</t>
  </si>
  <si>
    <t>Az</t>
  </si>
  <si>
    <t>hs</t>
  </si>
  <si>
    <t>Ws</t>
  </si>
  <si>
    <t>js</t>
  </si>
  <si>
    <t>_ls</t>
  </si>
  <si>
    <t>ls</t>
  </si>
  <si>
    <t>q</t>
  </si>
  <si>
    <t>LHA</t>
  </si>
  <si>
    <t>LHA_</t>
  </si>
  <si>
    <t>z_</t>
  </si>
  <si>
    <t>Wert</t>
  </si>
  <si>
    <t xml:space="preserve">Datumsdifferenz: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</si>
</sst>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164" formatCode="0.0000"/>
    <numFmt numFmtId="165" formatCode="0.000"/>
    <numFmt numFmtId="166" formatCode="0.0"/>
    <numFmt numFmtId="167" formatCode="[$-407]d/\ mmm/;@"/>
    <numFmt numFmtId="168" formatCode="[$-F400]h:mm:ss\ AM/PM"/>
    <numFmt numFmtId="169" formatCode="[$-407]d/\ mmm\ yy;@"/>
    <numFmt numFmtId="170" formatCode="0.000_ ;[Red]\-0.000\ "/>
    <numFmt numFmtId="171" formatCode="0.0000_ ;[Red]\-0.0000\ "/>
    <numFmt numFmtId="172" formatCode="0.00\°"/>
    <numFmt numFmtId="173" formatCode="0\°"/>
    <numFmt numFmtId="174" formatCode="0.000\°"/>
    <numFmt numFmtId="175" formatCode="000\°"/>
    <numFmt numFmtId="176" formatCode="0.00\'"/>
    <numFmt numFmtId="177" formatCode="0.0\'"/>
    <numFmt numFmtId="178" formatCode="0.00\°;[Red]0.00\°"/>
    <numFmt numFmtId="179" formatCode="0.00000"/>
    <numFmt numFmtId="180" formatCode="0.0\°"/>
    <numFmt numFmtId="181" formatCode="#,##0.00\ _€"/>
    <numFmt numFmtId="182" formatCode="0.00_ ;[Red]\-0.00\ "/>
    <numFmt numFmtId="183" formatCode="0.000000"/>
    <numFmt numFmtId="184" formatCode="0.0000E+00"/>
    <numFmt numFmtId="185" formatCode="d/m/yyyy;@"/>
    <numFmt numFmtId="186" formatCode="0.00\°;[Red]\-0.00\°"/>
  </numFmts>
  <fonts count="62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Lucida Calligraphy Italic"/>
    </font>
    <font>
      <b/>
      <sz val="18"/>
      <color theme="1"/>
      <name val="Lucida Calligraphy Italic"/>
    </font>
    <font>
      <sz val="12"/>
      <color theme="1"/>
      <name val="Helvetica Neue"/>
      <family val="2"/>
    </font>
    <font>
      <sz val="11"/>
      <color theme="1"/>
      <name val="Helvetica Neue"/>
      <family val="2"/>
    </font>
    <font>
      <sz val="10"/>
      <color theme="1"/>
      <name val="Helvetica Neue"/>
      <family val="2"/>
    </font>
    <font>
      <sz val="10"/>
      <color rgb="FFC00000"/>
      <name val="Helvetica Neue"/>
      <family val="2"/>
    </font>
    <font>
      <sz val="9"/>
      <color rgb="FFC00000"/>
      <name val="Helvetica Neue"/>
      <family val="2"/>
    </font>
    <font>
      <sz val="12"/>
      <color theme="1"/>
      <name val="Symbol"/>
      <charset val="2"/>
    </font>
    <font>
      <sz val="11"/>
      <color theme="1"/>
      <name val="Symbol"/>
      <charset val="2"/>
    </font>
    <font>
      <b/>
      <sz val="10"/>
      <color rgb="FFFF0000"/>
      <name val="Helvetica Neue"/>
      <family val="2"/>
    </font>
    <font>
      <sz val="11"/>
      <name val="Helvetica Neue"/>
      <family val="2"/>
    </font>
    <font>
      <sz val="11"/>
      <color theme="1"/>
      <name val="Calibri"/>
      <family val="2"/>
      <scheme val="minor"/>
    </font>
    <font>
      <sz val="14"/>
      <color theme="1"/>
      <name val="Helvetica Neue"/>
      <family val="2"/>
    </font>
    <font>
      <b/>
      <sz val="11"/>
      <color theme="1"/>
      <name val="Helvetica Neue"/>
      <family val="2"/>
    </font>
    <font>
      <sz val="10"/>
      <color theme="1"/>
      <name val="Calibri"/>
      <family val="2"/>
      <scheme val="minor"/>
    </font>
    <font>
      <sz val="11"/>
      <color rgb="FFC00000"/>
      <name val="Helvetica Neue"/>
      <family val="2"/>
    </font>
    <font>
      <sz val="10"/>
      <color theme="1"/>
      <name val="Lucida Calligraphy Italic"/>
    </font>
    <font>
      <sz val="12"/>
      <color rgb="FFC00000"/>
      <name val="Helvetica Neue"/>
      <family val="2"/>
    </font>
    <font>
      <b/>
      <sz val="12"/>
      <color theme="1"/>
      <name val="Helvetica Neue"/>
      <family val="2"/>
    </font>
    <font>
      <sz val="12"/>
      <name val="Helvetica Neue"/>
      <family val="2"/>
    </font>
    <font>
      <sz val="12"/>
      <color theme="1"/>
      <name val="Calibri"/>
      <family val="2"/>
      <charset val="2"/>
      <scheme val="minor"/>
    </font>
    <font>
      <sz val="12"/>
      <color theme="1"/>
      <name val="Calibri (Textkörper)"/>
    </font>
    <font>
      <sz val="12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6"/>
      <name val="Helvetica Neue"/>
      <family val="2"/>
    </font>
    <font>
      <sz val="18"/>
      <color theme="1" tint="0.34998626667073579"/>
      <name val="Lucida Calligraphy Italic"/>
    </font>
    <font>
      <sz val="12"/>
      <color theme="0" tint="-0.499984740745262"/>
      <name val="Calibri"/>
      <family val="2"/>
      <scheme val="minor"/>
    </font>
    <font>
      <sz val="11"/>
      <color rgb="FFC00000"/>
      <name val="Calibri"/>
      <family val="2"/>
      <scheme val="minor"/>
    </font>
    <font>
      <sz val="12"/>
      <color rgb="FF000000"/>
      <name val="Symbol"/>
      <charset val="2"/>
    </font>
    <font>
      <sz val="12"/>
      <color rgb="FF000000"/>
      <name val="Calibri (Textkörper)"/>
    </font>
    <font>
      <sz val="12"/>
      <color theme="1"/>
      <name val="Calibri"/>
      <family val="2"/>
      <charset val="2"/>
    </font>
    <font>
      <sz val="8"/>
      <color theme="1"/>
      <name val="Calibri (Textkörper)_x0000_"/>
    </font>
    <font>
      <sz val="8"/>
      <color theme="1"/>
      <name val="Calibri (Textkörper)"/>
    </font>
    <font>
      <sz val="12"/>
      <color rgb="FFFF0000"/>
      <name val="Calibri"/>
      <family val="2"/>
      <scheme val="minor"/>
    </font>
    <font>
      <sz val="14"/>
      <color theme="1"/>
      <name val="Symbol"/>
      <charset val="2"/>
    </font>
    <font>
      <sz val="12"/>
      <name val="Symbol"/>
      <charset val="2"/>
    </font>
    <font>
      <sz val="12"/>
      <name val="Calibri"/>
      <family val="2"/>
      <charset val="2"/>
    </font>
    <font>
      <sz val="12"/>
      <name val="Helvetica Neue"/>
      <family val="2"/>
      <charset val="2"/>
    </font>
    <font>
      <sz val="9"/>
      <name val="Helvetica Neue"/>
      <family val="2"/>
      <charset val="2"/>
    </font>
    <font>
      <sz val="12"/>
      <color rgb="FF00B050"/>
      <name val="Calibri"/>
      <family val="2"/>
      <scheme val="minor"/>
    </font>
    <font>
      <sz val="12"/>
      <color theme="9" tint="-0.249977111117893"/>
      <name val="Calibri"/>
      <family val="2"/>
      <scheme val="minor"/>
    </font>
    <font>
      <sz val="11"/>
      <color rgb="FF00B050"/>
      <name val="Helvetica Neue"/>
      <family val="2"/>
    </font>
    <font>
      <sz val="11"/>
      <color rgb="FFFF0000"/>
      <name val="Helvetica Neue"/>
      <family val="2"/>
    </font>
    <font>
      <sz val="11"/>
      <color theme="9" tint="-0.249977111117893"/>
      <name val="Helvetica Neue"/>
      <family val="2"/>
    </font>
    <font>
      <sz val="11"/>
      <color rgb="FF0070C0"/>
      <name val="Helvetica Neue"/>
      <family val="2"/>
    </font>
    <font>
      <sz val="9"/>
      <name val="Calibri"/>
      <family val="2"/>
    </font>
    <font>
      <sz val="9"/>
      <name val="Symbol"/>
      <charset val="2"/>
    </font>
    <font>
      <sz val="9"/>
      <name val="Helvetica Neue"/>
      <family val="2"/>
    </font>
    <font>
      <sz val="9"/>
      <name val="Calibri (Textkörper)"/>
    </font>
    <font>
      <sz val="18"/>
      <color rgb="FFC00000"/>
      <name val="Lucida Calligraphy Italic"/>
    </font>
    <font>
      <sz val="12"/>
      <color rgb="FF000000"/>
      <name val="Calibri"/>
      <family val="2"/>
      <scheme val="minor"/>
    </font>
    <font>
      <sz val="12"/>
      <color theme="1"/>
      <name val="Helvetica Neue"/>
      <family val="2"/>
      <charset val="2"/>
    </font>
    <font>
      <vertAlign val="subscript"/>
      <sz val="12"/>
      <color theme="1"/>
      <name val="Helvetica Neue"/>
      <family val="2"/>
    </font>
    <font>
      <b/>
      <sz val="12"/>
      <color theme="1"/>
      <name val="Lucida Calligraphy Italic"/>
    </font>
    <font>
      <b/>
      <sz val="16"/>
      <name val="Helvetica Neue"/>
      <family val="2"/>
    </font>
    <font>
      <sz val="14"/>
      <color theme="1"/>
      <name val="Calibri"/>
      <family val="2"/>
      <scheme val="minor"/>
    </font>
    <font>
      <b/>
      <sz val="12"/>
      <name val="Helvetica Neue"/>
      <family val="2"/>
    </font>
    <font>
      <b/>
      <sz val="12"/>
      <color rgb="FF000000"/>
      <name val="Helvetica Neue"/>
      <family val="2"/>
    </font>
    <font>
      <b/>
      <sz val="11"/>
      <color rgb="FFC00000"/>
      <name val="Helvetica Neue"/>
      <family val="2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2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/>
      <bottom style="thin">
        <color rgb="FFC00000"/>
      </bottom>
      <diagonal/>
    </border>
    <border>
      <left/>
      <right/>
      <top style="thin">
        <color rgb="FFC00000"/>
      </top>
      <bottom/>
      <diagonal/>
    </border>
    <border>
      <left style="medium">
        <color rgb="FF0070C0"/>
      </left>
      <right style="thin">
        <color rgb="FF0070C0"/>
      </right>
      <top style="medium">
        <color rgb="FF0070C0"/>
      </top>
      <bottom style="hair">
        <color rgb="FF0070C0"/>
      </bottom>
      <diagonal/>
    </border>
    <border>
      <left style="medium">
        <color rgb="FF0070C0"/>
      </left>
      <right style="thin">
        <color rgb="FF0070C0"/>
      </right>
      <top style="hair">
        <color rgb="FF0070C0"/>
      </top>
      <bottom style="medium">
        <color rgb="FF0070C0"/>
      </bottom>
      <diagonal/>
    </border>
    <border>
      <left style="thin">
        <color rgb="FF0070C0"/>
      </left>
      <right style="thin">
        <color rgb="FF0070C0"/>
      </right>
      <top style="hair">
        <color rgb="FF0070C0"/>
      </top>
      <bottom style="medium">
        <color rgb="FF0070C0"/>
      </bottom>
      <diagonal/>
    </border>
    <border>
      <left style="thin">
        <color rgb="FF0070C0"/>
      </left>
      <right style="thin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rgb="FF0070C0"/>
      </left>
      <right/>
      <top style="hair">
        <color rgb="FF0070C0"/>
      </top>
      <bottom style="medium">
        <color rgb="FF0070C0"/>
      </bottom>
      <diagonal/>
    </border>
    <border>
      <left style="medium">
        <color rgb="FF00B050"/>
      </left>
      <right style="thin">
        <color rgb="FF00B050"/>
      </right>
      <top style="medium">
        <color rgb="FF00B050"/>
      </top>
      <bottom style="hair">
        <color rgb="FF00B050"/>
      </bottom>
      <diagonal/>
    </border>
    <border>
      <left style="thin">
        <color rgb="FF00B050"/>
      </left>
      <right style="medium">
        <color rgb="FF00B050"/>
      </right>
      <top style="medium">
        <color rgb="FF00B050"/>
      </top>
      <bottom style="hair">
        <color rgb="FF00B050"/>
      </bottom>
      <diagonal/>
    </border>
    <border>
      <left style="medium">
        <color rgb="FF00B050"/>
      </left>
      <right style="thin">
        <color rgb="FF00B050"/>
      </right>
      <top style="hair">
        <color rgb="FF00B050"/>
      </top>
      <bottom style="medium">
        <color rgb="FF00B050"/>
      </bottom>
      <diagonal/>
    </border>
    <border>
      <left style="thin">
        <color rgb="FF00B050"/>
      </left>
      <right style="medium">
        <color rgb="FF00B050"/>
      </right>
      <top style="hair">
        <color rgb="FF00B050"/>
      </top>
      <bottom style="medium">
        <color rgb="FF00B050"/>
      </bottom>
      <diagonal/>
    </border>
    <border>
      <left style="medium">
        <color rgb="FF00B050"/>
      </left>
      <right style="thin">
        <color auto="1"/>
      </right>
      <top style="medium">
        <color rgb="FF00B050"/>
      </top>
      <bottom style="medium">
        <color rgb="FF00B050"/>
      </bottom>
      <diagonal/>
    </border>
    <border>
      <left style="medium">
        <color rgb="FF00B050"/>
      </left>
      <right style="thin">
        <color rgb="FF00B050"/>
      </right>
      <top style="hair">
        <color rgb="FF00B050"/>
      </top>
      <bottom style="hair">
        <color rgb="FF00B050"/>
      </bottom>
      <diagonal/>
    </border>
    <border>
      <left style="thin">
        <color rgb="FF00B050"/>
      </left>
      <right style="medium">
        <color rgb="FF00B050"/>
      </right>
      <top style="hair">
        <color rgb="FF00B050"/>
      </top>
      <bottom style="hair">
        <color rgb="FF00B050"/>
      </bottom>
      <diagonal/>
    </border>
    <border>
      <left style="thin">
        <color rgb="FF0070C0"/>
      </left>
      <right style="thin">
        <color rgb="FF0070C0"/>
      </right>
      <top style="medium">
        <color rgb="FF0070C0"/>
      </top>
      <bottom style="hair">
        <color rgb="FF0070C0"/>
      </bottom>
      <diagonal/>
    </border>
    <border>
      <left/>
      <right/>
      <top style="medium">
        <color rgb="FF0070C0"/>
      </top>
      <bottom style="hair">
        <color rgb="FF0070C0"/>
      </bottom>
      <diagonal/>
    </border>
    <border>
      <left style="thin">
        <color rgb="FF0070C0"/>
      </left>
      <right/>
      <top style="medium">
        <color rgb="FF0070C0"/>
      </top>
      <bottom style="hair">
        <color rgb="FF0070C0"/>
      </bottom>
      <diagonal/>
    </border>
    <border>
      <left/>
      <right/>
      <top style="hair">
        <color rgb="FF0070C0"/>
      </top>
      <bottom style="medium">
        <color rgb="FF0070C0"/>
      </bottom>
      <diagonal/>
    </border>
    <border>
      <left style="thin">
        <color rgb="FF0070C0"/>
      </left>
      <right style="medium">
        <color rgb="FF0070C0"/>
      </right>
      <top style="hair">
        <color rgb="FF0070C0"/>
      </top>
      <bottom style="medium">
        <color rgb="FF0070C0"/>
      </bottom>
      <diagonal/>
    </border>
    <border>
      <left style="thin">
        <color rgb="FF0070C0"/>
      </left>
      <right style="medium">
        <color rgb="FF0070C0"/>
      </right>
      <top style="medium">
        <color rgb="FF0070C0"/>
      </top>
      <bottom style="hair">
        <color rgb="FF0070C0"/>
      </bottom>
      <diagonal/>
    </border>
    <border>
      <left/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n">
        <color auto="1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n">
        <color rgb="FFC00000"/>
      </left>
      <right style="medium">
        <color rgb="FFC00000"/>
      </right>
      <top style="medium">
        <color rgb="FFC00000"/>
      </top>
      <bottom style="hair">
        <color rgb="FFC00000"/>
      </bottom>
      <diagonal/>
    </border>
    <border>
      <left style="thin">
        <color rgb="FFC00000"/>
      </left>
      <right style="medium">
        <color rgb="FFC00000"/>
      </right>
      <top style="hair">
        <color rgb="FFC00000"/>
      </top>
      <bottom style="medium">
        <color rgb="FFC00000"/>
      </bottom>
      <diagonal/>
    </border>
    <border>
      <left/>
      <right style="thin">
        <color rgb="FF0070C0"/>
      </right>
      <top style="medium">
        <color rgb="FF0070C0"/>
      </top>
      <bottom style="hair">
        <color rgb="FF0070C0"/>
      </bottom>
      <diagonal/>
    </border>
    <border>
      <left/>
      <right style="thin">
        <color rgb="FF0070C0"/>
      </right>
      <top style="hair">
        <color rgb="FF0070C0"/>
      </top>
      <bottom style="medium">
        <color rgb="FF0070C0"/>
      </bottom>
      <diagonal/>
    </border>
    <border>
      <left style="medium">
        <color rgb="FF00B050"/>
      </left>
      <right/>
      <top style="hair">
        <color rgb="FF00B050"/>
      </top>
      <bottom style="hair">
        <color rgb="FF00B050"/>
      </bottom>
      <diagonal/>
    </border>
    <border>
      <left/>
      <right/>
      <top style="hair">
        <color rgb="FF00B050"/>
      </top>
      <bottom style="hair">
        <color rgb="FF00B050"/>
      </bottom>
      <diagonal/>
    </border>
    <border>
      <left/>
      <right style="medium">
        <color rgb="FF00B050"/>
      </right>
      <top style="hair">
        <color rgb="FF00B050"/>
      </top>
      <bottom style="hair">
        <color rgb="FF00B050"/>
      </bottom>
      <diagonal/>
    </border>
    <border>
      <left style="medium">
        <color rgb="FF00B050"/>
      </left>
      <right/>
      <top style="hair">
        <color rgb="FF00B050"/>
      </top>
      <bottom style="medium">
        <color rgb="FF00B050"/>
      </bottom>
      <diagonal/>
    </border>
    <border>
      <left/>
      <right/>
      <top style="hair">
        <color rgb="FF00B050"/>
      </top>
      <bottom style="medium">
        <color rgb="FF00B050"/>
      </bottom>
      <diagonal/>
    </border>
    <border>
      <left/>
      <right style="medium">
        <color rgb="FF00B050"/>
      </right>
      <top style="hair">
        <color rgb="FF00B050"/>
      </top>
      <bottom style="medium">
        <color rgb="FF00B050"/>
      </bottom>
      <diagonal/>
    </border>
    <border>
      <left style="medium">
        <color rgb="FF00B050"/>
      </left>
      <right/>
      <top/>
      <bottom style="hair">
        <color rgb="FF00B050"/>
      </bottom>
      <diagonal/>
    </border>
    <border>
      <left/>
      <right/>
      <top/>
      <bottom style="hair">
        <color rgb="FF00B050"/>
      </bottom>
      <diagonal/>
    </border>
    <border>
      <left/>
      <right style="medium">
        <color rgb="FF00B050"/>
      </right>
      <top/>
      <bottom style="hair">
        <color rgb="FF00B050"/>
      </bottom>
      <diagonal/>
    </border>
    <border>
      <left style="medium">
        <color rgb="FF00B050"/>
      </left>
      <right/>
      <top style="medium">
        <color rgb="FF00B050"/>
      </top>
      <bottom style="medium">
        <color rgb="FF00B050"/>
      </bottom>
      <diagonal/>
    </border>
    <border>
      <left/>
      <right/>
      <top style="medium">
        <color rgb="FF00B050"/>
      </top>
      <bottom style="medium">
        <color rgb="FF00B05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hair">
        <color rgb="FFC00000"/>
      </bottom>
      <diagonal/>
    </border>
    <border>
      <left/>
      <right/>
      <top/>
      <bottom style="hair">
        <color rgb="FFC00000"/>
      </bottom>
      <diagonal/>
    </border>
    <border>
      <left/>
      <right style="thin">
        <color rgb="FFC00000"/>
      </right>
      <top/>
      <bottom style="hair">
        <color rgb="FFC00000"/>
      </bottom>
      <diagonal/>
    </border>
    <border>
      <left style="thin">
        <color rgb="FFC00000"/>
      </left>
      <right style="thin">
        <color rgb="FFC00000"/>
      </right>
      <top style="hair">
        <color rgb="FFC00000"/>
      </top>
      <bottom style="hair">
        <color rgb="FFC00000"/>
      </bottom>
      <diagonal/>
    </border>
    <border>
      <left/>
      <right/>
      <top style="hair">
        <color rgb="FFC00000"/>
      </top>
      <bottom style="hair">
        <color rgb="FFC00000"/>
      </bottom>
      <diagonal/>
    </border>
    <border>
      <left style="thin">
        <color rgb="FFC00000"/>
      </left>
      <right/>
      <top style="hair">
        <color rgb="FFC00000"/>
      </top>
      <bottom style="hair">
        <color rgb="FFC00000"/>
      </bottom>
      <diagonal/>
    </border>
    <border>
      <left/>
      <right style="thin">
        <color rgb="FFC00000"/>
      </right>
      <top style="hair">
        <color rgb="FFC00000"/>
      </top>
      <bottom style="hair">
        <color rgb="FFC00000"/>
      </bottom>
      <diagonal/>
    </border>
    <border>
      <left style="thin">
        <color rgb="FFC00000"/>
      </left>
      <right style="thin">
        <color rgb="FFC00000"/>
      </right>
      <top style="hair">
        <color rgb="FFC00000"/>
      </top>
      <bottom style="thin">
        <color rgb="FFC00000"/>
      </bottom>
      <diagonal/>
    </border>
    <border>
      <left/>
      <right/>
      <top style="hair">
        <color rgb="FFC00000"/>
      </top>
      <bottom style="thin">
        <color rgb="FFC00000"/>
      </bottom>
      <diagonal/>
    </border>
    <border>
      <left style="thin">
        <color rgb="FFC00000"/>
      </left>
      <right/>
      <top style="hair">
        <color rgb="FFC00000"/>
      </top>
      <bottom style="thin">
        <color rgb="FFC00000"/>
      </bottom>
      <diagonal/>
    </border>
    <border>
      <left/>
      <right style="thin">
        <color rgb="FFC00000"/>
      </right>
      <top style="hair">
        <color rgb="FFC00000"/>
      </top>
      <bottom style="thin">
        <color rgb="FFC00000"/>
      </bottom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medium">
        <color rgb="FFC00000"/>
      </left>
      <right style="thin">
        <color rgb="FFC00000"/>
      </right>
      <top/>
      <bottom style="medium">
        <color rgb="FFC00000"/>
      </bottom>
      <diagonal/>
    </border>
    <border>
      <left style="thin">
        <color rgb="FFC00000"/>
      </left>
      <right style="thin">
        <color rgb="FFC00000"/>
      </right>
      <top/>
      <bottom style="medium">
        <color rgb="FFC00000"/>
      </bottom>
      <diagonal/>
    </border>
    <border>
      <left style="medium">
        <color rgb="FFC00000"/>
      </left>
      <right style="thin">
        <color rgb="FFC00000"/>
      </right>
      <top style="medium">
        <color rgb="FFC00000"/>
      </top>
      <bottom style="hair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rgb="FFC00000"/>
      </top>
      <bottom style="hair">
        <color rgb="FFC00000"/>
      </bottom>
      <diagonal/>
    </border>
    <border>
      <left style="medium">
        <color rgb="FFC00000"/>
      </left>
      <right style="thin">
        <color rgb="FFC00000"/>
      </right>
      <top style="hair">
        <color rgb="FFC00000"/>
      </top>
      <bottom style="hair">
        <color rgb="FFC00000"/>
      </bottom>
      <diagonal/>
    </border>
    <border>
      <left style="medium">
        <color rgb="FFC00000"/>
      </left>
      <right style="thin">
        <color rgb="FFC00000"/>
      </right>
      <top style="hair">
        <color rgb="FFC00000"/>
      </top>
      <bottom style="medium">
        <color rgb="FFC00000"/>
      </bottom>
      <diagonal/>
    </border>
    <border>
      <left style="thin">
        <color rgb="FFC00000"/>
      </left>
      <right style="thin">
        <color rgb="FFC00000"/>
      </right>
      <top style="hair">
        <color rgb="FFC00000"/>
      </top>
      <bottom style="medium">
        <color rgb="FFC00000"/>
      </bottom>
      <diagonal/>
    </border>
    <border>
      <left style="thin">
        <color rgb="FFC00000"/>
      </left>
      <right/>
      <top style="thin">
        <color rgb="FFC00000"/>
      </top>
      <bottom style="hair">
        <color rgb="FFC00000"/>
      </bottom>
      <diagonal/>
    </border>
    <border>
      <left/>
      <right/>
      <top style="thin">
        <color rgb="FFC00000"/>
      </top>
      <bottom style="hair">
        <color rgb="FFC00000"/>
      </bottom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/>
      <right style="medium">
        <color rgb="FF00B050"/>
      </right>
      <top/>
      <bottom style="medium">
        <color rgb="FF00B050"/>
      </bottom>
      <diagonal/>
    </border>
    <border>
      <left style="medium">
        <color rgb="FFC00000"/>
      </left>
      <right style="thin">
        <color rgb="FFC00000"/>
      </right>
      <top style="hair">
        <color rgb="FFC00000"/>
      </top>
      <bottom/>
      <diagonal/>
    </border>
    <border>
      <left style="thin">
        <color rgb="FFC00000"/>
      </left>
      <right style="thin">
        <color rgb="FFC00000"/>
      </right>
      <top style="hair">
        <color rgb="FFC00000"/>
      </top>
      <bottom/>
      <diagonal/>
    </border>
    <border>
      <left style="medium">
        <color rgb="FFFFC000"/>
      </left>
      <right style="thin">
        <color rgb="FFFFC000"/>
      </right>
      <top style="hair">
        <color rgb="FFFFC000"/>
      </top>
      <bottom style="hair">
        <color rgb="FFFFC000"/>
      </bottom>
      <diagonal/>
    </border>
    <border>
      <left style="medium">
        <color rgb="FFFFC000"/>
      </left>
      <right style="thin">
        <color rgb="FFFFC000"/>
      </right>
      <top style="hair">
        <color rgb="FFFFC000"/>
      </top>
      <bottom style="medium">
        <color rgb="FFFFC000"/>
      </bottom>
      <diagonal/>
    </border>
    <border>
      <left style="medium">
        <color rgb="FFFFC000"/>
      </left>
      <right style="thin">
        <color rgb="FFFFC000"/>
      </right>
      <top/>
      <bottom style="hair">
        <color rgb="FFFFC000"/>
      </bottom>
      <diagonal/>
    </border>
    <border>
      <left style="medium">
        <color rgb="FFFFC000"/>
      </left>
      <right style="thin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theme="7"/>
      </left>
      <right style="thin">
        <color theme="7"/>
      </right>
      <top style="hair">
        <color theme="7"/>
      </top>
      <bottom style="hair">
        <color theme="7"/>
      </bottom>
      <diagonal/>
    </border>
    <border>
      <left style="thin">
        <color theme="7"/>
      </left>
      <right style="thin">
        <color theme="7"/>
      </right>
      <top style="hair">
        <color theme="7"/>
      </top>
      <bottom style="hair">
        <color theme="7"/>
      </bottom>
      <diagonal/>
    </border>
    <border>
      <left style="thin">
        <color theme="7"/>
      </left>
      <right style="medium">
        <color theme="7"/>
      </right>
      <top style="hair">
        <color theme="7"/>
      </top>
      <bottom style="hair">
        <color theme="7"/>
      </bottom>
      <diagonal/>
    </border>
    <border>
      <left style="medium">
        <color theme="7"/>
      </left>
      <right style="thin">
        <color theme="7"/>
      </right>
      <top style="hair">
        <color theme="7"/>
      </top>
      <bottom style="medium">
        <color theme="7"/>
      </bottom>
      <diagonal/>
    </border>
    <border>
      <left style="thin">
        <color theme="7"/>
      </left>
      <right style="thin">
        <color theme="7"/>
      </right>
      <top style="hair">
        <color theme="7"/>
      </top>
      <bottom style="medium">
        <color theme="7"/>
      </bottom>
      <diagonal/>
    </border>
    <border>
      <left style="thin">
        <color theme="7"/>
      </left>
      <right style="medium">
        <color theme="7"/>
      </right>
      <top style="hair">
        <color theme="7"/>
      </top>
      <bottom style="medium">
        <color theme="7"/>
      </bottom>
      <diagonal/>
    </border>
    <border>
      <left style="medium">
        <color theme="7"/>
      </left>
      <right style="thin">
        <color theme="7"/>
      </right>
      <top/>
      <bottom style="hair">
        <color theme="7"/>
      </bottom>
      <diagonal/>
    </border>
    <border>
      <left style="thin">
        <color theme="7"/>
      </left>
      <right style="thin">
        <color theme="7"/>
      </right>
      <top/>
      <bottom style="hair">
        <color theme="7"/>
      </bottom>
      <diagonal/>
    </border>
    <border>
      <left style="thin">
        <color theme="7"/>
      </left>
      <right style="medium">
        <color theme="7"/>
      </right>
      <top/>
      <bottom style="hair">
        <color theme="7"/>
      </bottom>
      <diagonal/>
    </border>
    <border>
      <left style="medium">
        <color theme="7"/>
      </left>
      <right style="thin">
        <color theme="7"/>
      </right>
      <top style="medium">
        <color theme="7"/>
      </top>
      <bottom style="medium">
        <color theme="7"/>
      </bottom>
      <diagonal/>
    </border>
    <border>
      <left style="thin">
        <color theme="7"/>
      </left>
      <right style="thin">
        <color theme="7"/>
      </right>
      <top style="medium">
        <color theme="7"/>
      </top>
      <bottom style="medium">
        <color theme="7"/>
      </bottom>
      <diagonal/>
    </border>
    <border>
      <left style="thin">
        <color theme="7"/>
      </left>
      <right style="medium">
        <color theme="7"/>
      </right>
      <top style="medium">
        <color theme="7"/>
      </top>
      <bottom style="medium">
        <color theme="7"/>
      </bottom>
      <diagonal/>
    </border>
    <border>
      <left style="medium">
        <color theme="7"/>
      </left>
      <right style="thin">
        <color theme="7"/>
      </right>
      <top style="hair">
        <color theme="7"/>
      </top>
      <bottom/>
      <diagonal/>
    </border>
    <border>
      <left style="thin">
        <color theme="7"/>
      </left>
      <right style="thin">
        <color theme="7"/>
      </right>
      <top style="hair">
        <color theme="7"/>
      </top>
      <bottom/>
      <diagonal/>
    </border>
    <border>
      <left style="thin">
        <color theme="7"/>
      </left>
      <right style="medium">
        <color theme="7"/>
      </right>
      <top style="hair">
        <color theme="7"/>
      </top>
      <bottom/>
      <diagonal/>
    </border>
    <border>
      <left style="medium">
        <color rgb="FFC00000"/>
      </left>
      <right style="thin">
        <color rgb="FFC00000"/>
      </right>
      <top style="medium">
        <color rgb="FFC00000"/>
      </top>
      <bottom/>
      <diagonal/>
    </border>
    <border>
      <left style="medium">
        <color rgb="FFC00000"/>
      </left>
      <right style="thin">
        <color rgb="FFC00000"/>
      </right>
      <top/>
      <bottom style="double">
        <color rgb="FFC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2" tint="-0.24994659260841701"/>
      </left>
      <right/>
      <top style="medium">
        <color theme="2" tint="-0.24994659260841701"/>
      </top>
      <bottom/>
      <diagonal/>
    </border>
    <border>
      <left/>
      <right/>
      <top style="medium">
        <color theme="2" tint="-0.24994659260841701"/>
      </top>
      <bottom/>
      <diagonal/>
    </border>
    <border>
      <left/>
      <right style="medium">
        <color theme="2" tint="-0.24994659260841701"/>
      </right>
      <top style="medium">
        <color theme="2" tint="-0.24994659260841701"/>
      </top>
      <bottom/>
      <diagonal/>
    </border>
    <border>
      <left style="medium">
        <color theme="2" tint="-0.24994659260841701"/>
      </left>
      <right/>
      <top/>
      <bottom/>
      <diagonal/>
    </border>
    <border>
      <left/>
      <right style="medium">
        <color theme="2" tint="-0.24994659260841701"/>
      </right>
      <top/>
      <bottom/>
      <diagonal/>
    </border>
    <border>
      <left style="medium">
        <color theme="2" tint="-0.24994659260841701"/>
      </left>
      <right/>
      <top/>
      <bottom style="medium">
        <color theme="2" tint="-0.24994659260841701"/>
      </bottom>
      <diagonal/>
    </border>
    <border>
      <left/>
      <right/>
      <top/>
      <bottom style="medium">
        <color theme="2" tint="-0.24994659260841701"/>
      </bottom>
      <diagonal/>
    </border>
    <border>
      <left/>
      <right style="medium">
        <color theme="2" tint="-0.24994659260841701"/>
      </right>
      <top/>
      <bottom style="medium">
        <color theme="2" tint="-0.24994659260841701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hair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hair">
        <color theme="0" tint="-0.34998626667073579"/>
      </top>
      <bottom/>
      <diagonal/>
    </border>
    <border>
      <left style="medium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hair">
        <color theme="0" tint="-0.34998626667073579"/>
      </top>
      <bottom style="medium">
        <color theme="0" tint="-0.34998626667073579"/>
      </bottom>
      <diagonal/>
    </border>
    <border>
      <left style="medium">
        <color theme="7"/>
      </left>
      <right style="thin">
        <color theme="7"/>
      </right>
      <top style="medium">
        <color theme="7"/>
      </top>
      <bottom style="hair">
        <color theme="7"/>
      </bottom>
      <diagonal/>
    </border>
    <border>
      <left style="thin">
        <color theme="7"/>
      </left>
      <right/>
      <top style="medium">
        <color theme="7"/>
      </top>
      <bottom style="hair">
        <color theme="7"/>
      </bottom>
      <diagonal/>
    </border>
    <border>
      <left style="thin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 style="thin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 style="thin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/>
      <right style="thin">
        <color rgb="FF0070C0"/>
      </right>
      <top style="medium">
        <color rgb="FF0070C0"/>
      </top>
      <bottom/>
      <diagonal/>
    </border>
    <border>
      <left/>
      <right style="thin">
        <color rgb="FF0070C0"/>
      </right>
      <top style="hair">
        <color rgb="FF0070C0"/>
      </top>
      <bottom style="hair">
        <color rgb="FF0070C0"/>
      </bottom>
      <diagonal/>
    </border>
    <border>
      <left style="thin">
        <color rgb="FF0070C0"/>
      </left>
      <right style="medium">
        <color rgb="FF0070C0"/>
      </right>
      <top style="hair">
        <color rgb="FF0070C0"/>
      </top>
      <bottom style="hair">
        <color rgb="FF0070C0"/>
      </bottom>
      <diagonal/>
    </border>
    <border>
      <left style="medium">
        <color rgb="FF0070C0"/>
      </left>
      <right style="thin">
        <color rgb="FF0070C0"/>
      </right>
      <top style="hair">
        <color rgb="FF0070C0"/>
      </top>
      <bottom style="hair">
        <color rgb="FF0070C0"/>
      </bottom>
      <diagonal/>
    </border>
    <border>
      <left style="thin">
        <color rgb="FF0070C0"/>
      </left>
      <right style="thin">
        <color rgb="FF0070C0"/>
      </right>
      <top style="hair">
        <color rgb="FF0070C0"/>
      </top>
      <bottom style="hair">
        <color rgb="FF0070C0"/>
      </bottom>
      <diagonal/>
    </border>
    <border>
      <left style="medium">
        <color rgb="FF0070C0"/>
      </left>
      <right/>
      <top style="medium">
        <color rgb="FF0070C0"/>
      </top>
      <bottom style="hair">
        <color rgb="FF0070C0"/>
      </bottom>
      <diagonal/>
    </border>
    <border>
      <left style="medium">
        <color rgb="FF0070C0"/>
      </left>
      <right/>
      <top style="hair">
        <color rgb="FF0070C0"/>
      </top>
      <bottom style="medium">
        <color rgb="FF0070C0"/>
      </bottom>
      <diagonal/>
    </border>
    <border>
      <left style="medium">
        <color rgb="FF0070C0"/>
      </left>
      <right/>
      <top style="hair">
        <color rgb="FF0070C0"/>
      </top>
      <bottom style="hair">
        <color rgb="FF0070C0"/>
      </bottom>
      <diagonal/>
    </border>
    <border>
      <left/>
      <right/>
      <top style="hair">
        <color rgb="FF0070C0"/>
      </top>
      <bottom style="hair">
        <color rgb="FF0070C0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thin">
        <color rgb="FF0070C0"/>
      </right>
      <top style="hair">
        <color rgb="FF0070C0"/>
      </top>
      <bottom/>
      <diagonal/>
    </border>
    <border>
      <left style="thin">
        <color rgb="FF0070C0"/>
      </left>
      <right style="medium">
        <color rgb="FF0070C0"/>
      </right>
      <top style="hair">
        <color rgb="FF0070C0"/>
      </top>
      <bottom/>
      <diagonal/>
    </border>
    <border>
      <left style="medium">
        <color rgb="FF0070C0"/>
      </left>
      <right style="thin">
        <color rgb="FF0070C0"/>
      </right>
      <top style="hair">
        <color rgb="FF0070C0"/>
      </top>
      <bottom/>
      <diagonal/>
    </border>
    <border>
      <left style="thin">
        <color rgb="FF0070C0"/>
      </left>
      <right style="thin">
        <color rgb="FF0070C0"/>
      </right>
      <top style="hair">
        <color rgb="FF0070C0"/>
      </top>
      <bottom/>
      <diagonal/>
    </border>
    <border>
      <left style="thin">
        <color theme="7"/>
      </left>
      <right style="medium">
        <color theme="7"/>
      </right>
      <top style="medium">
        <color theme="7"/>
      </top>
      <bottom style="hair">
        <color theme="7"/>
      </bottom>
      <diagonal/>
    </border>
    <border>
      <left style="medium">
        <color rgb="FF0070C0"/>
      </left>
      <right style="thin">
        <color rgb="FF0070C0"/>
      </right>
      <top style="thin">
        <color rgb="FF0070C0"/>
      </top>
      <bottom style="hair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hair">
        <color rgb="FF0070C0"/>
      </bottom>
      <diagonal/>
    </border>
    <border>
      <left style="thin">
        <color rgb="FF0070C0"/>
      </left>
      <right style="medium">
        <color rgb="FF0070C0"/>
      </right>
      <top style="thin">
        <color rgb="FF0070C0"/>
      </top>
      <bottom style="hair">
        <color rgb="FF0070C0"/>
      </bottom>
      <diagonal/>
    </border>
    <border>
      <left style="thin">
        <color rgb="FF0070C0"/>
      </left>
      <right style="thin">
        <color rgb="FF0070C0"/>
      </right>
      <top style="hair">
        <color rgb="FF0070C0"/>
      </top>
      <bottom style="thin">
        <color rgb="FF0070C0"/>
      </bottom>
      <diagonal/>
    </border>
    <border>
      <left style="thin">
        <color rgb="FF0070C0"/>
      </left>
      <right style="medium">
        <color rgb="FF0070C0"/>
      </right>
      <top style="hair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/>
      <bottom style="hair">
        <color rgb="FF0070C0"/>
      </bottom>
      <diagonal/>
    </border>
    <border>
      <left style="thin">
        <color rgb="FF0070C0"/>
      </left>
      <right style="medium">
        <color rgb="FF0070C0"/>
      </right>
      <top/>
      <bottom style="hair">
        <color rgb="FF0070C0"/>
      </bottom>
      <diagonal/>
    </border>
    <border>
      <left/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thin">
        <color rgb="FFFFC000"/>
      </left>
      <right style="medium">
        <color rgb="FFFFC000"/>
      </right>
      <top style="medium">
        <color rgb="FFFFC000"/>
      </top>
      <bottom style="hair">
        <color rgb="FFFFC000"/>
      </bottom>
      <diagonal/>
    </border>
    <border>
      <left style="thin">
        <color rgb="FFFFC000"/>
      </left>
      <right style="medium">
        <color rgb="FFFFC000"/>
      </right>
      <top style="hair">
        <color rgb="FFFFC000"/>
      </top>
      <bottom style="hair">
        <color rgb="FFFFC000"/>
      </bottom>
      <diagonal/>
    </border>
    <border>
      <left style="thin">
        <color rgb="FFFFC000"/>
      </left>
      <right style="medium">
        <color rgb="FFFFC000"/>
      </right>
      <top style="hair">
        <color rgb="FFFFC000"/>
      </top>
      <bottom style="medium">
        <color rgb="FFFFC00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 style="thin">
        <color rgb="FFC00000"/>
      </left>
      <right/>
      <top style="medium">
        <color rgb="FFC00000"/>
      </top>
      <bottom/>
      <diagonal/>
    </border>
    <border>
      <left style="thin">
        <color rgb="FFC00000"/>
      </left>
      <right/>
      <top/>
      <bottom style="double">
        <color rgb="FFC00000"/>
      </bottom>
      <diagonal/>
    </border>
    <border>
      <left style="thin">
        <color rgb="FFC00000"/>
      </left>
      <right/>
      <top style="medium">
        <color rgb="FFC00000"/>
      </top>
      <bottom style="hair">
        <color rgb="FFC00000"/>
      </bottom>
      <diagonal/>
    </border>
    <border>
      <left style="thin">
        <color rgb="FFC00000"/>
      </left>
      <right/>
      <top style="hair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/>
      <right style="medium">
        <color rgb="FFC00000"/>
      </right>
      <top/>
      <bottom style="double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hair">
        <color rgb="FFC00000"/>
      </bottom>
      <diagonal/>
    </border>
    <border>
      <left/>
      <right style="medium">
        <color rgb="FFC00000"/>
      </right>
      <top style="hair">
        <color rgb="FFC00000"/>
      </top>
      <bottom style="hair">
        <color rgb="FFC00000"/>
      </bottom>
      <diagonal/>
    </border>
    <border>
      <left/>
      <right style="medium">
        <color rgb="FFC00000"/>
      </right>
      <top style="hair">
        <color rgb="FFC00000"/>
      </top>
      <bottom/>
      <diagonal/>
    </border>
    <border>
      <left/>
      <right style="medium">
        <color rgb="FFC00000"/>
      </right>
      <top style="hair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/>
      <bottom style="double">
        <color rgb="FFC00000"/>
      </bottom>
      <diagonal/>
    </border>
  </borders>
  <cellStyleXfs count="17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15">
    <xf numFmtId="0" fontId="0" fillId="0" borderId="0" xfId="0"/>
    <xf numFmtId="0" fontId="7" fillId="0" borderId="0" xfId="0" applyFont="1" applyProtection="1">
      <protection hidden="1"/>
    </xf>
    <xf numFmtId="0" fontId="7" fillId="0" borderId="0" xfId="0" applyFont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9" fillId="0" borderId="0" xfId="0" applyFont="1" applyAlignment="1" applyProtection="1">
      <alignment horizontal="right"/>
      <protection hidden="1"/>
    </xf>
    <xf numFmtId="164" fontId="0" fillId="0" borderId="0" xfId="0" applyNumberFormat="1" applyProtection="1">
      <protection hidden="1"/>
    </xf>
    <xf numFmtId="0" fontId="0" fillId="0" borderId="0" xfId="0" applyAlignment="1" applyProtection="1">
      <alignment vertical="center"/>
      <protection hidden="1"/>
    </xf>
    <xf numFmtId="16" fontId="7" fillId="0" borderId="0" xfId="0" applyNumberFormat="1" applyFont="1" applyProtection="1">
      <protection hidden="1"/>
    </xf>
    <xf numFmtId="0" fontId="3" fillId="0" borderId="0" xfId="0" applyFont="1" applyAlignment="1" applyProtection="1">
      <alignment vertical="center"/>
      <protection hidden="1"/>
    </xf>
    <xf numFmtId="0" fontId="9" fillId="0" borderId="4" xfId="0" applyFont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right"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15" fillId="0" borderId="0" xfId="0" applyFont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18" fillId="0" borderId="2" xfId="0" applyFont="1" applyBorder="1" applyAlignment="1" applyProtection="1">
      <alignment horizontal="right" vertical="center"/>
      <protection hidden="1"/>
    </xf>
    <xf numFmtId="173" fontId="6" fillId="2" borderId="1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right" vertical="center"/>
      <protection hidden="1"/>
    </xf>
    <xf numFmtId="0" fontId="6" fillId="0" borderId="6" xfId="0" applyFont="1" applyBorder="1" applyAlignment="1" applyProtection="1">
      <alignment horizontal="right"/>
      <protection hidden="1"/>
    </xf>
    <xf numFmtId="0" fontId="6" fillId="0" borderId="7" xfId="0" applyFont="1" applyBorder="1" applyAlignment="1" applyProtection="1">
      <alignment horizontal="right"/>
      <protection hidden="1"/>
    </xf>
    <xf numFmtId="177" fontId="6" fillId="2" borderId="3" xfId="0" applyNumberFormat="1" applyFont="1" applyFill="1" applyBorder="1" applyAlignment="1" applyProtection="1">
      <alignment horizontal="center" vertical="center"/>
      <protection locked="0"/>
    </xf>
    <xf numFmtId="165" fontId="20" fillId="0" borderId="4" xfId="0" applyNumberFormat="1" applyFont="1" applyBorder="1" applyAlignment="1" applyProtection="1">
      <alignment horizontal="center" vertical="center"/>
      <protection hidden="1"/>
    </xf>
    <xf numFmtId="165" fontId="5" fillId="0" borderId="0" xfId="0" applyNumberFormat="1" applyFont="1" applyAlignment="1" applyProtection="1">
      <alignment vertical="center"/>
      <protection hidden="1"/>
    </xf>
    <xf numFmtId="0" fontId="5" fillId="0" borderId="0" xfId="0" applyFont="1" applyProtection="1">
      <protection hidden="1"/>
    </xf>
    <xf numFmtId="2" fontId="5" fillId="0" borderId="0" xfId="0" applyNumberFormat="1" applyFont="1" applyProtection="1">
      <protection hidden="1"/>
    </xf>
    <xf numFmtId="0" fontId="15" fillId="0" borderId="0" xfId="0" applyFont="1" applyAlignment="1" applyProtection="1">
      <alignment vertical="center"/>
      <protection hidden="1"/>
    </xf>
    <xf numFmtId="2" fontId="7" fillId="0" borderId="0" xfId="0" applyNumberFormat="1" applyFont="1" applyProtection="1">
      <protection hidden="1"/>
    </xf>
    <xf numFmtId="0" fontId="7" fillId="0" borderId="39" xfId="0" applyFont="1" applyBorder="1" applyProtection="1">
      <protection hidden="1"/>
    </xf>
    <xf numFmtId="0" fontId="5" fillId="0" borderId="24" xfId="0" applyFont="1" applyBorder="1" applyProtection="1">
      <protection hidden="1"/>
    </xf>
    <xf numFmtId="168" fontId="6" fillId="0" borderId="41" xfId="0" applyNumberFormat="1" applyFont="1" applyBorder="1" applyAlignment="1" applyProtection="1">
      <alignment horizontal="right"/>
      <protection hidden="1"/>
    </xf>
    <xf numFmtId="173" fontId="6" fillId="0" borderId="43" xfId="0" applyNumberFormat="1" applyFont="1" applyBorder="1" applyAlignment="1" applyProtection="1">
      <alignment horizontal="right"/>
      <protection hidden="1"/>
    </xf>
    <xf numFmtId="177" fontId="6" fillId="2" borderId="18" xfId="0" applyNumberFormat="1" applyFont="1" applyFill="1" applyBorder="1" applyAlignment="1" applyProtection="1">
      <alignment horizontal="center"/>
      <protection locked="0"/>
    </xf>
    <xf numFmtId="177" fontId="6" fillId="2" borderId="8" xfId="0" applyNumberFormat="1" applyFont="1" applyFill="1" applyBorder="1" applyAlignment="1" applyProtection="1">
      <alignment horizontal="center"/>
      <protection locked="0"/>
    </xf>
    <xf numFmtId="0" fontId="6" fillId="0" borderId="53" xfId="0" applyFont="1" applyBorder="1" applyAlignment="1" applyProtection="1">
      <alignment horizontal="right" vertical="center"/>
      <protection hidden="1"/>
    </xf>
    <xf numFmtId="166" fontId="6" fillId="2" borderId="23" xfId="0" applyNumberFormat="1" applyFont="1" applyFill="1" applyBorder="1" applyAlignment="1" applyProtection="1">
      <alignment horizontal="center"/>
      <protection locked="0"/>
    </xf>
    <xf numFmtId="166" fontId="6" fillId="2" borderId="22" xfId="0" applyNumberFormat="1" applyFont="1" applyFill="1" applyBorder="1" applyAlignment="1" applyProtection="1">
      <alignment horizontal="center"/>
      <protection locked="0"/>
    </xf>
    <xf numFmtId="166" fontId="5" fillId="2" borderId="9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right" vertical="center"/>
      <protection hidden="1"/>
    </xf>
    <xf numFmtId="0" fontId="14" fillId="0" borderId="2" xfId="0" applyFont="1" applyBorder="1" applyProtection="1">
      <protection hidden="1"/>
    </xf>
    <xf numFmtId="0" fontId="18" fillId="0" borderId="3" xfId="0" applyFont="1" applyBorder="1" applyAlignment="1" applyProtection="1">
      <alignment horizontal="right" vertical="center"/>
      <protection hidden="1"/>
    </xf>
    <xf numFmtId="0" fontId="18" fillId="0" borderId="0" xfId="0" applyFont="1" applyAlignment="1" applyProtection="1">
      <alignment horizontal="right"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167" fontId="15" fillId="0" borderId="0" xfId="0" applyNumberFormat="1" applyFont="1" applyAlignment="1" applyProtection="1">
      <alignment horizontal="left" vertical="center"/>
      <protection hidden="1"/>
    </xf>
    <xf numFmtId="1" fontId="7" fillId="0" borderId="0" xfId="0" applyNumberFormat="1" applyFont="1" applyAlignment="1" applyProtection="1">
      <alignment horizontal="center" vertical="center"/>
      <protection hidden="1"/>
    </xf>
    <xf numFmtId="0" fontId="5" fillId="0" borderId="35" xfId="0" applyFont="1" applyBorder="1" applyAlignment="1" applyProtection="1">
      <alignment horizontal="right" vertical="center"/>
      <protection hidden="1"/>
    </xf>
    <xf numFmtId="0" fontId="5" fillId="0" borderId="38" xfId="0" applyFont="1" applyBorder="1" applyAlignment="1" applyProtection="1">
      <alignment horizontal="right" vertical="center"/>
      <protection hidden="1"/>
    </xf>
    <xf numFmtId="0" fontId="5" fillId="0" borderId="32" xfId="0" applyFont="1" applyBorder="1" applyAlignment="1" applyProtection="1">
      <alignment horizontal="right" vertical="center"/>
      <protection hidden="1"/>
    </xf>
    <xf numFmtId="0" fontId="5" fillId="0" borderId="38" xfId="0" applyFont="1" applyBorder="1" applyAlignment="1" applyProtection="1">
      <alignment vertical="center"/>
      <protection hidden="1"/>
    </xf>
    <xf numFmtId="0" fontId="7" fillId="0" borderId="32" xfId="0" applyFont="1" applyBorder="1" applyAlignment="1" applyProtection="1">
      <alignment vertical="center"/>
      <protection hidden="1"/>
    </xf>
    <xf numFmtId="176" fontId="5" fillId="0" borderId="32" xfId="0" applyNumberFormat="1" applyFont="1" applyBorder="1" applyAlignment="1" applyProtection="1">
      <alignment horizontal="left" vertical="center"/>
      <protection hidden="1"/>
    </xf>
    <xf numFmtId="0" fontId="7" fillId="0" borderId="36" xfId="0" applyFont="1" applyBorder="1" applyAlignment="1" applyProtection="1">
      <alignment vertical="center"/>
      <protection hidden="1"/>
    </xf>
    <xf numFmtId="0" fontId="7" fillId="0" borderId="30" xfId="0" applyFont="1" applyBorder="1" applyAlignment="1" applyProtection="1">
      <alignment vertical="center"/>
      <protection hidden="1"/>
    </xf>
    <xf numFmtId="0" fontId="7" fillId="0" borderId="33" xfId="0" applyFont="1" applyBorder="1" applyAlignment="1" applyProtection="1">
      <alignment vertical="center"/>
      <protection hidden="1"/>
    </xf>
    <xf numFmtId="0" fontId="5" fillId="0" borderId="15" xfId="0" applyFont="1" applyBorder="1" applyAlignment="1" applyProtection="1">
      <alignment horizontal="center"/>
      <protection hidden="1"/>
    </xf>
    <xf numFmtId="0" fontId="5" fillId="0" borderId="25" xfId="0" applyFont="1" applyBorder="1" applyAlignment="1" applyProtection="1">
      <alignment horizontal="center"/>
      <protection hidden="1"/>
    </xf>
    <xf numFmtId="173" fontId="6" fillId="0" borderId="50" xfId="0" applyNumberFormat="1" applyFont="1" applyBorder="1" applyProtection="1">
      <protection hidden="1"/>
    </xf>
    <xf numFmtId="173" fontId="5" fillId="2" borderId="41" xfId="0" applyNumberFormat="1" applyFont="1" applyFill="1" applyBorder="1" applyAlignment="1" applyProtection="1">
      <alignment horizontal="center" vertical="center"/>
      <protection locked="0"/>
    </xf>
    <xf numFmtId="0" fontId="5" fillId="0" borderId="54" xfId="0" applyFont="1" applyBorder="1" applyAlignment="1" applyProtection="1">
      <alignment horizontal="left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right" vertical="center"/>
      <protection hidden="1"/>
    </xf>
    <xf numFmtId="0" fontId="6" fillId="0" borderId="42" xfId="0" applyFont="1" applyBorder="1" applyAlignment="1" applyProtection="1">
      <alignment horizontal="right" vertical="center"/>
      <protection hidden="1"/>
    </xf>
    <xf numFmtId="0" fontId="6" fillId="0" borderId="45" xfId="0" applyFont="1" applyBorder="1" applyAlignment="1" applyProtection="1">
      <alignment horizontal="right" vertical="center"/>
      <protection hidden="1"/>
    </xf>
    <xf numFmtId="0" fontId="0" fillId="0" borderId="45" xfId="0" applyBorder="1" applyAlignment="1" applyProtection="1">
      <alignment horizontal="right" vertical="center"/>
      <protection hidden="1"/>
    </xf>
    <xf numFmtId="0" fontId="6" fillId="0" borderId="49" xfId="0" applyFont="1" applyBorder="1" applyAlignment="1" applyProtection="1">
      <alignment horizontal="right" vertical="center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168" fontId="8" fillId="0" borderId="0" xfId="0" applyNumberFormat="1" applyFont="1" applyAlignment="1" applyProtection="1">
      <alignment horizontal="left" vertical="center"/>
      <protection hidden="1"/>
    </xf>
    <xf numFmtId="0" fontId="5" fillId="0" borderId="1" xfId="0" applyFont="1" applyBorder="1" applyAlignment="1" applyProtection="1">
      <alignment horizontal="right" vertical="center"/>
      <protection hidden="1"/>
    </xf>
    <xf numFmtId="0" fontId="0" fillId="0" borderId="59" xfId="0" applyBorder="1" applyAlignment="1" applyProtection="1">
      <alignment horizontal="right"/>
      <protection hidden="1"/>
    </xf>
    <xf numFmtId="0" fontId="5" fillId="0" borderId="65" xfId="0" applyFont="1" applyBorder="1" applyAlignment="1" applyProtection="1">
      <alignment horizontal="center"/>
      <protection hidden="1"/>
    </xf>
    <xf numFmtId="0" fontId="5" fillId="0" borderId="67" xfId="0" applyFont="1" applyBorder="1" applyAlignment="1" applyProtection="1">
      <alignment horizontal="center"/>
      <protection hidden="1"/>
    </xf>
    <xf numFmtId="0" fontId="0" fillId="0" borderId="55" xfId="0" applyBorder="1" applyAlignment="1" applyProtection="1">
      <alignment horizontal="center" vertical="center"/>
      <protection hidden="1"/>
    </xf>
    <xf numFmtId="0" fontId="0" fillId="0" borderId="56" xfId="0" applyBorder="1" applyAlignment="1" applyProtection="1">
      <alignment horizontal="center" vertical="center"/>
      <protection hidden="1"/>
    </xf>
    <xf numFmtId="0" fontId="28" fillId="0" borderId="0" xfId="0" applyFont="1" applyProtection="1">
      <protection hidden="1"/>
    </xf>
    <xf numFmtId="0" fontId="29" fillId="0" borderId="0" xfId="0" applyFont="1" applyProtection="1">
      <protection hidden="1"/>
    </xf>
    <xf numFmtId="0" fontId="33" fillId="0" borderId="60" xfId="0" applyFont="1" applyBorder="1" applyAlignment="1" applyProtection="1">
      <alignment horizontal="right"/>
      <protection hidden="1"/>
    </xf>
    <xf numFmtId="172" fontId="5" fillId="0" borderId="37" xfId="0" applyNumberFormat="1" applyFont="1" applyBorder="1" applyAlignment="1" applyProtection="1">
      <alignment horizontal="right" vertical="center"/>
      <protection hidden="1"/>
    </xf>
    <xf numFmtId="176" fontId="5" fillId="0" borderId="31" xfId="0" applyNumberFormat="1" applyFont="1" applyBorder="1" applyAlignment="1" applyProtection="1">
      <alignment horizontal="right" vertical="center"/>
      <protection hidden="1"/>
    </xf>
    <xf numFmtId="177" fontId="5" fillId="0" borderId="31" xfId="0" applyNumberFormat="1" applyFont="1" applyBorder="1" applyAlignment="1" applyProtection="1">
      <alignment horizontal="right" vertical="center"/>
      <protection hidden="1"/>
    </xf>
    <xf numFmtId="2" fontId="5" fillId="0" borderId="31" xfId="0" applyNumberFormat="1" applyFont="1" applyBorder="1" applyAlignment="1" applyProtection="1">
      <alignment horizontal="right" vertical="center"/>
      <protection hidden="1"/>
    </xf>
    <xf numFmtId="173" fontId="5" fillId="0" borderId="31" xfId="0" applyNumberFormat="1" applyFont="1" applyBorder="1" applyAlignment="1" applyProtection="1">
      <alignment horizontal="right" vertical="center"/>
      <protection hidden="1"/>
    </xf>
    <xf numFmtId="0" fontId="5" fillId="0" borderId="32" xfId="0" applyFont="1" applyBorder="1" applyAlignment="1" applyProtection="1">
      <alignment horizontal="left" vertical="center"/>
      <protection hidden="1"/>
    </xf>
    <xf numFmtId="0" fontId="5" fillId="0" borderId="35" xfId="0" applyFont="1" applyBorder="1" applyAlignment="1" applyProtection="1">
      <alignment horizontal="left" vertical="center"/>
      <protection hidden="1"/>
    </xf>
    <xf numFmtId="0" fontId="14" fillId="0" borderId="0" xfId="0" applyFont="1" applyAlignment="1">
      <alignment vertical="center"/>
    </xf>
    <xf numFmtId="0" fontId="6" fillId="0" borderId="0" xfId="0" applyFont="1"/>
    <xf numFmtId="0" fontId="6" fillId="0" borderId="70" xfId="0" applyFont="1" applyBorder="1" applyAlignment="1" applyProtection="1">
      <alignment horizontal="center"/>
      <protection hidden="1"/>
    </xf>
    <xf numFmtId="0" fontId="6" fillId="0" borderId="73" xfId="0" applyFont="1" applyBorder="1" applyAlignment="1" applyProtection="1">
      <alignment horizontal="center"/>
      <protection hidden="1"/>
    </xf>
    <xf numFmtId="165" fontId="6" fillId="0" borderId="84" xfId="0" applyNumberFormat="1" applyFont="1" applyBorder="1" applyAlignment="1" applyProtection="1">
      <alignment horizontal="center"/>
      <protection hidden="1"/>
    </xf>
    <xf numFmtId="165" fontId="6" fillId="0" borderId="85" xfId="0" applyNumberFormat="1" applyFont="1" applyBorder="1" applyAlignment="1" applyProtection="1">
      <alignment horizontal="center"/>
      <protection hidden="1"/>
    </xf>
    <xf numFmtId="0" fontId="15" fillId="0" borderId="0" xfId="0" applyFont="1" applyAlignment="1" applyProtection="1">
      <alignment vertical="top"/>
      <protection hidden="1"/>
    </xf>
    <xf numFmtId="0" fontId="33" fillId="0" borderId="59" xfId="0" applyFont="1" applyBorder="1" applyAlignment="1" applyProtection="1">
      <alignment horizontal="right"/>
      <protection hidden="1"/>
    </xf>
    <xf numFmtId="0" fontId="0" fillId="0" borderId="0" xfId="0" applyAlignment="1">
      <alignment horizontal="left"/>
    </xf>
    <xf numFmtId="0" fontId="0" fillId="0" borderId="0" xfId="0" applyAlignment="1" applyProtection="1">
      <alignment horizontal="left" vertical="center"/>
      <protection hidden="1"/>
    </xf>
    <xf numFmtId="0" fontId="23" fillId="0" borderId="68" xfId="0" applyFont="1" applyBorder="1" applyAlignment="1" applyProtection="1">
      <alignment horizontal="right"/>
      <protection hidden="1"/>
    </xf>
    <xf numFmtId="167" fontId="5" fillId="0" borderId="89" xfId="0" applyNumberFormat="1" applyFont="1" applyBorder="1" applyAlignment="1" applyProtection="1">
      <alignment horizontal="center" vertical="center"/>
      <protection hidden="1"/>
    </xf>
    <xf numFmtId="0" fontId="21" fillId="0" borderId="90" xfId="0" applyFont="1" applyBorder="1" applyAlignment="1" applyProtection="1">
      <alignment horizontal="center" vertical="center"/>
      <protection hidden="1"/>
    </xf>
    <xf numFmtId="0" fontId="27" fillId="0" borderId="0" xfId="0" applyFont="1" applyProtection="1">
      <protection hidden="1"/>
    </xf>
    <xf numFmtId="179" fontId="21" fillId="0" borderId="34" xfId="0" applyNumberFormat="1" applyFont="1" applyBorder="1" applyAlignment="1" applyProtection="1">
      <alignment horizontal="right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3" fillId="0" borderId="0" xfId="0" applyFont="1" applyAlignment="1" applyProtection="1">
      <alignment vertical="top"/>
      <protection hidden="1"/>
    </xf>
    <xf numFmtId="0" fontId="27" fillId="0" borderId="0" xfId="0" applyFont="1" applyAlignment="1" applyProtection="1">
      <alignment horizontal="center" vertical="center"/>
      <protection hidden="1"/>
    </xf>
    <xf numFmtId="173" fontId="5" fillId="0" borderId="95" xfId="0" applyNumberFormat="1" applyFont="1" applyBorder="1" applyAlignment="1" applyProtection="1">
      <alignment horizontal="center" vertical="center"/>
      <protection hidden="1"/>
    </xf>
    <xf numFmtId="0" fontId="5" fillId="0" borderId="95" xfId="0" applyFont="1" applyBorder="1" applyAlignment="1" applyProtection="1">
      <alignment vertical="center"/>
      <protection hidden="1"/>
    </xf>
    <xf numFmtId="0" fontId="5" fillId="0" borderId="96" xfId="0" applyFont="1" applyBorder="1" applyAlignment="1" applyProtection="1">
      <alignment vertical="center"/>
      <protection hidden="1"/>
    </xf>
    <xf numFmtId="166" fontId="5" fillId="0" borderId="0" xfId="0" applyNumberFormat="1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5" fillId="0" borderId="98" xfId="0" applyFont="1" applyBorder="1" applyAlignment="1" applyProtection="1">
      <alignment horizontal="center" vertical="center"/>
      <protection hidden="1"/>
    </xf>
    <xf numFmtId="166" fontId="5" fillId="0" borderId="0" xfId="0" applyNumberFormat="1" applyFont="1" applyAlignment="1" applyProtection="1">
      <alignment horizontal="left" vertical="center"/>
      <protection hidden="1"/>
    </xf>
    <xf numFmtId="174" fontId="5" fillId="0" borderId="98" xfId="0" applyNumberFormat="1" applyFont="1" applyBorder="1" applyAlignment="1" applyProtection="1">
      <alignment horizontal="center" vertical="center"/>
      <protection hidden="1"/>
    </xf>
    <xf numFmtId="166" fontId="0" fillId="0" borderId="0" xfId="0" applyNumberFormat="1" applyProtection="1">
      <protection hidden="1"/>
    </xf>
    <xf numFmtId="0" fontId="5" fillId="0" borderId="97" xfId="0" applyFont="1" applyBorder="1" applyProtection="1">
      <protection hidden="1"/>
    </xf>
    <xf numFmtId="0" fontId="5" fillId="0" borderId="0" xfId="0" applyFont="1" applyAlignment="1" applyProtection="1">
      <alignment horizontal="right"/>
      <protection hidden="1"/>
    </xf>
    <xf numFmtId="172" fontId="5" fillId="0" borderId="0" xfId="0" applyNumberFormat="1" applyFont="1" applyAlignment="1" applyProtection="1">
      <alignment horizontal="center" vertical="center"/>
      <protection hidden="1"/>
    </xf>
    <xf numFmtId="0" fontId="5" fillId="0" borderId="98" xfId="0" applyFont="1" applyBorder="1" applyProtection="1">
      <protection hidden="1"/>
    </xf>
    <xf numFmtId="0" fontId="0" fillId="0" borderId="97" xfId="0" applyBorder="1" applyProtection="1">
      <protection hidden="1"/>
    </xf>
    <xf numFmtId="0" fontId="0" fillId="0" borderId="0" xfId="0" applyAlignment="1" applyProtection="1">
      <alignment horizontal="right"/>
      <protection hidden="1"/>
    </xf>
    <xf numFmtId="0" fontId="0" fillId="0" borderId="98" xfId="0" applyBorder="1" applyProtection="1">
      <protection hidden="1"/>
    </xf>
    <xf numFmtId="0" fontId="0" fillId="0" borderId="99" xfId="0" applyBorder="1" applyProtection="1">
      <protection hidden="1"/>
    </xf>
    <xf numFmtId="0" fontId="0" fillId="0" borderId="100" xfId="0" applyBorder="1" applyProtection="1">
      <protection hidden="1"/>
    </xf>
    <xf numFmtId="0" fontId="0" fillId="0" borderId="100" xfId="0" applyBorder="1" applyAlignment="1" applyProtection="1">
      <alignment horizontal="right"/>
      <protection hidden="1"/>
    </xf>
    <xf numFmtId="0" fontId="0" fillId="0" borderId="100" xfId="0" applyBorder="1" applyAlignment="1" applyProtection="1">
      <alignment horizontal="center"/>
      <protection hidden="1"/>
    </xf>
    <xf numFmtId="0" fontId="0" fillId="0" borderId="101" xfId="0" applyBorder="1" applyProtection="1">
      <protection hidden="1"/>
    </xf>
    <xf numFmtId="0" fontId="38" fillId="0" borderId="102" xfId="0" applyFont="1" applyBorder="1" applyAlignment="1" applyProtection="1">
      <alignment horizontal="center"/>
      <protection hidden="1"/>
    </xf>
    <xf numFmtId="0" fontId="39" fillId="0" borderId="103" xfId="0" applyFont="1" applyBorder="1" applyAlignment="1" applyProtection="1">
      <alignment horizontal="center"/>
      <protection hidden="1"/>
    </xf>
    <xf numFmtId="0" fontId="40" fillId="0" borderId="103" xfId="0" applyFont="1" applyBorder="1" applyAlignment="1" applyProtection="1">
      <alignment horizontal="center"/>
      <protection hidden="1"/>
    </xf>
    <xf numFmtId="0" fontId="38" fillId="0" borderId="103" xfId="0" applyFont="1" applyBorder="1" applyAlignment="1" applyProtection="1">
      <alignment horizontal="center"/>
      <protection hidden="1"/>
    </xf>
    <xf numFmtId="181" fontId="5" fillId="0" borderId="105" xfId="0" applyNumberFormat="1" applyFont="1" applyBorder="1" applyAlignment="1" applyProtection="1">
      <alignment horizontal="center"/>
      <protection hidden="1"/>
    </xf>
    <xf numFmtId="2" fontId="0" fillId="0" borderId="106" xfId="0" applyNumberFormat="1" applyBorder="1" applyAlignment="1" applyProtection="1">
      <alignment horizontal="center"/>
      <protection hidden="1"/>
    </xf>
    <xf numFmtId="2" fontId="42" fillId="0" borderId="106" xfId="0" applyNumberFormat="1" applyFont="1" applyBorder="1" applyAlignment="1" applyProtection="1">
      <alignment horizontal="center"/>
      <protection hidden="1"/>
    </xf>
    <xf numFmtId="2" fontId="36" fillId="0" borderId="106" xfId="0" applyNumberFormat="1" applyFont="1" applyBorder="1" applyAlignment="1" applyProtection="1">
      <alignment horizontal="center"/>
      <protection hidden="1"/>
    </xf>
    <xf numFmtId="2" fontId="43" fillId="3" borderId="106" xfId="0" applyNumberFormat="1" applyFont="1" applyFill="1" applyBorder="1" applyAlignment="1" applyProtection="1">
      <alignment horizontal="center"/>
      <protection hidden="1"/>
    </xf>
    <xf numFmtId="0" fontId="0" fillId="0" borderId="107" xfId="0" applyBorder="1" applyProtection="1">
      <protection hidden="1"/>
    </xf>
    <xf numFmtId="181" fontId="6" fillId="0" borderId="108" xfId="0" applyNumberFormat="1" applyFont="1" applyBorder="1" applyAlignment="1" applyProtection="1">
      <alignment horizontal="center"/>
      <protection hidden="1"/>
    </xf>
    <xf numFmtId="2" fontId="6" fillId="0" borderId="109" xfId="0" applyNumberFormat="1" applyFont="1" applyBorder="1" applyAlignment="1" applyProtection="1">
      <alignment horizontal="center"/>
      <protection hidden="1"/>
    </xf>
    <xf numFmtId="2" fontId="44" fillId="0" borderId="109" xfId="0" applyNumberFormat="1" applyFont="1" applyBorder="1" applyAlignment="1" applyProtection="1">
      <alignment horizontal="center"/>
      <protection hidden="1"/>
    </xf>
    <xf numFmtId="2" fontId="45" fillId="0" borderId="109" xfId="0" applyNumberFormat="1" applyFont="1" applyBorder="1" applyAlignment="1" applyProtection="1">
      <alignment horizontal="center"/>
      <protection hidden="1"/>
    </xf>
    <xf numFmtId="2" fontId="46" fillId="3" borderId="109" xfId="0" applyNumberFormat="1" applyFont="1" applyFill="1" applyBorder="1" applyAlignment="1" applyProtection="1">
      <alignment horizontal="center"/>
      <protection hidden="1"/>
    </xf>
    <xf numFmtId="0" fontId="0" fillId="0" borderId="110" xfId="0" applyBorder="1" applyProtection="1">
      <protection hidden="1"/>
    </xf>
    <xf numFmtId="181" fontId="16" fillId="2" borderId="108" xfId="0" applyNumberFormat="1" applyFont="1" applyFill="1" applyBorder="1" applyAlignment="1" applyProtection="1">
      <alignment horizontal="center"/>
      <protection hidden="1"/>
    </xf>
    <xf numFmtId="2" fontId="6" fillId="2" borderId="109" xfId="0" applyNumberFormat="1" applyFont="1" applyFill="1" applyBorder="1" applyAlignment="1" applyProtection="1">
      <alignment horizontal="center"/>
      <protection hidden="1"/>
    </xf>
    <xf numFmtId="2" fontId="44" fillId="2" borderId="109" xfId="0" applyNumberFormat="1" applyFont="1" applyFill="1" applyBorder="1" applyAlignment="1" applyProtection="1">
      <alignment horizontal="center"/>
      <protection hidden="1"/>
    </xf>
    <xf numFmtId="2" fontId="45" fillId="2" borderId="109" xfId="0" applyNumberFormat="1" applyFont="1" applyFill="1" applyBorder="1" applyAlignment="1" applyProtection="1">
      <alignment horizontal="center"/>
      <protection hidden="1"/>
    </xf>
    <xf numFmtId="2" fontId="46" fillId="2" borderId="109" xfId="0" applyNumberFormat="1" applyFont="1" applyFill="1" applyBorder="1" applyAlignment="1" applyProtection="1">
      <alignment horizontal="center"/>
      <protection hidden="1"/>
    </xf>
    <xf numFmtId="0" fontId="0" fillId="0" borderId="111" xfId="0" applyBorder="1" applyProtection="1">
      <protection hidden="1"/>
    </xf>
    <xf numFmtId="181" fontId="6" fillId="0" borderId="105" xfId="0" applyNumberFormat="1" applyFont="1" applyBorder="1" applyAlignment="1" applyProtection="1">
      <alignment horizontal="center"/>
      <protection hidden="1"/>
    </xf>
    <xf numFmtId="182" fontId="6" fillId="0" borderId="106" xfId="0" applyNumberFormat="1" applyFont="1" applyBorder="1" applyAlignment="1" applyProtection="1">
      <alignment horizontal="center"/>
      <protection hidden="1"/>
    </xf>
    <xf numFmtId="0" fontId="6" fillId="0" borderId="106" xfId="0" applyFont="1" applyBorder="1" applyAlignment="1" applyProtection="1">
      <alignment horizontal="center"/>
      <protection hidden="1"/>
    </xf>
    <xf numFmtId="2" fontId="6" fillId="0" borderId="106" xfId="0" applyNumberFormat="1" applyFont="1" applyBorder="1" applyAlignment="1" applyProtection="1">
      <alignment horizontal="center"/>
      <protection hidden="1"/>
    </xf>
    <xf numFmtId="0" fontId="44" fillId="0" borderId="106" xfId="0" applyFont="1" applyBorder="1" applyAlignment="1" applyProtection="1">
      <alignment horizontal="center"/>
      <protection hidden="1"/>
    </xf>
    <xf numFmtId="0" fontId="45" fillId="0" borderId="106" xfId="0" applyFont="1" applyBorder="1" applyAlignment="1" applyProtection="1">
      <alignment horizontal="center"/>
      <protection hidden="1"/>
    </xf>
    <xf numFmtId="0" fontId="0" fillId="3" borderId="106" xfId="0" applyFill="1" applyBorder="1" applyProtection="1">
      <protection hidden="1"/>
    </xf>
    <xf numFmtId="2" fontId="47" fillId="0" borderId="107" xfId="0" applyNumberFormat="1" applyFont="1" applyBorder="1" applyAlignment="1" applyProtection="1">
      <alignment horizontal="center"/>
      <protection hidden="1"/>
    </xf>
    <xf numFmtId="181" fontId="6" fillId="0" borderId="112" xfId="0" applyNumberFormat="1" applyFont="1" applyBorder="1" applyAlignment="1" applyProtection="1">
      <alignment horizontal="center"/>
      <protection hidden="1"/>
    </xf>
    <xf numFmtId="0" fontId="6" fillId="0" borderId="113" xfId="0" applyFont="1" applyBorder="1" applyAlignment="1" applyProtection="1">
      <alignment horizontal="center"/>
      <protection hidden="1"/>
    </xf>
    <xf numFmtId="2" fontId="6" fillId="0" borderId="113" xfId="0" applyNumberFormat="1" applyFont="1" applyBorder="1" applyAlignment="1" applyProtection="1">
      <alignment horizontal="center"/>
      <protection hidden="1"/>
    </xf>
    <xf numFmtId="0" fontId="44" fillId="0" borderId="113" xfId="0" applyFont="1" applyBorder="1" applyAlignment="1" applyProtection="1">
      <alignment horizontal="center"/>
      <protection hidden="1"/>
    </xf>
    <xf numFmtId="0" fontId="45" fillId="0" borderId="113" xfId="0" applyFont="1" applyBorder="1" applyAlignment="1" applyProtection="1">
      <alignment horizontal="center"/>
      <protection hidden="1"/>
    </xf>
    <xf numFmtId="0" fontId="0" fillId="3" borderId="113" xfId="0" applyFill="1" applyBorder="1" applyProtection="1">
      <protection hidden="1"/>
    </xf>
    <xf numFmtId="2" fontId="47" fillId="0" borderId="114" xfId="0" applyNumberFormat="1" applyFont="1" applyBorder="1" applyAlignment="1" applyProtection="1">
      <alignment horizontal="center"/>
      <protection hidden="1"/>
    </xf>
    <xf numFmtId="0" fontId="22" fillId="0" borderId="103" xfId="0" applyFont="1" applyBorder="1" applyAlignment="1" applyProtection="1">
      <alignment horizontal="center" vertical="center"/>
      <protection hidden="1"/>
    </xf>
    <xf numFmtId="0" fontId="41" fillId="0" borderId="104" xfId="0" applyFont="1" applyBorder="1" applyAlignment="1" applyProtection="1">
      <alignment horizontal="center" vertical="center"/>
      <protection hidden="1"/>
    </xf>
    <xf numFmtId="165" fontId="6" fillId="0" borderId="81" xfId="0" applyNumberFormat="1" applyFont="1" applyBorder="1" applyAlignment="1" applyProtection="1">
      <alignment horizontal="right"/>
      <protection hidden="1"/>
    </xf>
    <xf numFmtId="165" fontId="6" fillId="0" borderId="82" xfId="0" applyNumberFormat="1" applyFont="1" applyBorder="1" applyAlignment="1" applyProtection="1">
      <alignment horizontal="right"/>
      <protection hidden="1"/>
    </xf>
    <xf numFmtId="0" fontId="0" fillId="0" borderId="74" xfId="0" applyBorder="1" applyAlignment="1">
      <alignment horizontal="right"/>
    </xf>
    <xf numFmtId="164" fontId="6" fillId="0" borderId="75" xfId="0" applyNumberFormat="1" applyFont="1" applyBorder="1" applyAlignment="1">
      <alignment horizontal="right"/>
    </xf>
    <xf numFmtId="164" fontId="6" fillId="0" borderId="76" xfId="0" applyNumberFormat="1" applyFont="1" applyBorder="1" applyAlignment="1">
      <alignment horizontal="right"/>
    </xf>
    <xf numFmtId="0" fontId="10" fillId="0" borderId="74" xfId="0" applyFont="1" applyBorder="1" applyAlignment="1">
      <alignment horizontal="right"/>
    </xf>
    <xf numFmtId="0" fontId="10" fillId="0" borderId="86" xfId="0" applyFont="1" applyBorder="1" applyAlignment="1">
      <alignment horizontal="right"/>
    </xf>
    <xf numFmtId="164" fontId="6" fillId="0" borderId="87" xfId="0" applyNumberFormat="1" applyFont="1" applyBorder="1" applyAlignment="1">
      <alignment horizontal="right"/>
    </xf>
    <xf numFmtId="164" fontId="6" fillId="0" borderId="88" xfId="0" applyNumberFormat="1" applyFont="1" applyBorder="1" applyAlignment="1">
      <alignment horizontal="right"/>
    </xf>
    <xf numFmtId="0" fontId="0" fillId="0" borderId="77" xfId="0" applyBorder="1" applyAlignment="1">
      <alignment horizontal="right"/>
    </xf>
    <xf numFmtId="164" fontId="6" fillId="0" borderId="78" xfId="0" applyNumberFormat="1" applyFont="1" applyBorder="1" applyAlignment="1">
      <alignment horizontal="right"/>
    </xf>
    <xf numFmtId="164" fontId="6" fillId="0" borderId="79" xfId="0" applyNumberFormat="1" applyFont="1" applyBorder="1" applyAlignment="1">
      <alignment horizontal="right"/>
    </xf>
    <xf numFmtId="0" fontId="0" fillId="0" borderId="80" xfId="0" applyBorder="1" applyAlignment="1">
      <alignment horizontal="right"/>
    </xf>
    <xf numFmtId="0" fontId="10" fillId="0" borderId="77" xfId="0" applyFont="1" applyBorder="1" applyAlignment="1">
      <alignment horizontal="right"/>
    </xf>
    <xf numFmtId="164" fontId="16" fillId="0" borderId="78" xfId="0" applyNumberFormat="1" applyFont="1" applyBorder="1" applyAlignment="1">
      <alignment horizontal="right"/>
    </xf>
    <xf numFmtId="164" fontId="16" fillId="0" borderId="79" xfId="0" applyNumberFormat="1" applyFont="1" applyBorder="1" applyAlignment="1">
      <alignment horizontal="right"/>
    </xf>
    <xf numFmtId="0" fontId="6" fillId="0" borderId="72" xfId="0" applyFont="1" applyBorder="1" applyAlignment="1">
      <alignment horizontal="right" vertical="center"/>
    </xf>
    <xf numFmtId="0" fontId="6" fillId="0" borderId="70" xfId="0" applyFont="1" applyBorder="1" applyAlignment="1">
      <alignment horizontal="right" vertical="center"/>
    </xf>
    <xf numFmtId="0" fontId="6" fillId="0" borderId="70" xfId="0" applyFont="1" applyBorder="1" applyAlignment="1" applyProtection="1">
      <alignment horizontal="right" vertical="center"/>
      <protection hidden="1"/>
    </xf>
    <xf numFmtId="0" fontId="0" fillId="0" borderId="80" xfId="0" applyBorder="1" applyAlignment="1" applyProtection="1">
      <alignment horizontal="right"/>
      <protection hidden="1"/>
    </xf>
    <xf numFmtId="0" fontId="6" fillId="0" borderId="83" xfId="0" applyFont="1" applyBorder="1" applyAlignment="1" applyProtection="1">
      <alignment horizontal="center"/>
      <protection hidden="1"/>
    </xf>
    <xf numFmtId="0" fontId="6" fillId="0" borderId="71" xfId="0" applyFont="1" applyBorder="1" applyAlignment="1">
      <alignment horizontal="right" vertical="center"/>
    </xf>
    <xf numFmtId="0" fontId="6" fillId="0" borderId="11" xfId="0" applyFont="1" applyBorder="1" applyAlignment="1" applyProtection="1">
      <alignment horizontal="right"/>
      <protection hidden="1"/>
    </xf>
    <xf numFmtId="177" fontId="6" fillId="0" borderId="12" xfId="0" applyNumberFormat="1" applyFont="1" applyBorder="1" applyAlignment="1" applyProtection="1">
      <alignment horizontal="right"/>
      <protection hidden="1"/>
    </xf>
    <xf numFmtId="0" fontId="6" fillId="0" borderId="16" xfId="0" applyFont="1" applyBorder="1" applyAlignment="1" applyProtection="1">
      <alignment horizontal="right"/>
      <protection hidden="1"/>
    </xf>
    <xf numFmtId="177" fontId="6" fillId="0" borderId="17" xfId="0" applyNumberFormat="1" applyFont="1" applyBorder="1" applyAlignment="1" applyProtection="1">
      <alignment horizontal="right"/>
      <protection hidden="1"/>
    </xf>
    <xf numFmtId="0" fontId="6" fillId="0" borderId="13" xfId="0" applyFont="1" applyBorder="1" applyAlignment="1" applyProtection="1">
      <alignment horizontal="right"/>
      <protection hidden="1"/>
    </xf>
    <xf numFmtId="177" fontId="6" fillId="0" borderId="14" xfId="0" applyNumberFormat="1" applyFont="1" applyBorder="1" applyAlignment="1" applyProtection="1">
      <alignment horizontal="right"/>
      <protection hidden="1"/>
    </xf>
    <xf numFmtId="178" fontId="6" fillId="0" borderId="82" xfId="0" applyNumberFormat="1" applyFont="1" applyBorder="1" applyAlignment="1">
      <alignment horizontal="right" vertical="center"/>
    </xf>
    <xf numFmtId="0" fontId="3" fillId="0" borderId="0" xfId="0" applyFont="1" applyProtection="1">
      <protection hidden="1"/>
    </xf>
    <xf numFmtId="176" fontId="6" fillId="0" borderId="44" xfId="0" applyNumberFormat="1" applyFont="1" applyBorder="1" applyAlignment="1" applyProtection="1">
      <alignment horizontal="center"/>
      <protection hidden="1"/>
    </xf>
    <xf numFmtId="176" fontId="6" fillId="0" borderId="48" xfId="0" applyNumberFormat="1" applyFont="1" applyBorder="1" applyAlignment="1" applyProtection="1">
      <alignment horizontal="center"/>
      <protection hidden="1"/>
    </xf>
    <xf numFmtId="176" fontId="0" fillId="0" borderId="48" xfId="0" applyNumberFormat="1" applyBorder="1" applyAlignment="1" applyProtection="1">
      <alignment horizontal="center"/>
      <protection hidden="1"/>
    </xf>
    <xf numFmtId="176" fontId="6" fillId="0" borderId="52" xfId="0" applyNumberFormat="1" applyFont="1" applyBorder="1" applyAlignment="1" applyProtection="1">
      <alignment horizontal="center"/>
      <protection hidden="1"/>
    </xf>
    <xf numFmtId="176" fontId="6" fillId="0" borderId="43" xfId="0" applyNumberFormat="1" applyFont="1" applyBorder="1" applyAlignment="1" applyProtection="1">
      <alignment horizontal="center"/>
      <protection hidden="1"/>
    </xf>
    <xf numFmtId="176" fontId="6" fillId="0" borderId="46" xfId="0" applyNumberFormat="1" applyFont="1" applyBorder="1" applyAlignment="1" applyProtection="1">
      <alignment horizontal="center"/>
      <protection hidden="1"/>
    </xf>
    <xf numFmtId="176" fontId="6" fillId="0" borderId="50" xfId="0" applyNumberFormat="1" applyFont="1" applyBorder="1" applyAlignment="1" applyProtection="1">
      <alignment horizontal="center"/>
      <protection hidden="1"/>
    </xf>
    <xf numFmtId="0" fontId="52" fillId="0" borderId="0" xfId="0" applyFont="1" applyAlignment="1" applyProtection="1">
      <alignment vertical="center"/>
      <protection hidden="1"/>
    </xf>
    <xf numFmtId="164" fontId="16" fillId="0" borderId="82" xfId="0" applyNumberFormat="1" applyFont="1" applyBorder="1" applyAlignment="1" applyProtection="1">
      <alignment horizontal="right"/>
      <protection hidden="1"/>
    </xf>
    <xf numFmtId="0" fontId="0" fillId="0" borderId="115" xfId="0" applyBorder="1" applyAlignment="1">
      <alignment horizontal="right"/>
    </xf>
    <xf numFmtId="164" fontId="6" fillId="0" borderId="116" xfId="0" applyNumberFormat="1" applyFont="1" applyBorder="1" applyAlignment="1">
      <alignment horizontal="right"/>
    </xf>
    <xf numFmtId="173" fontId="0" fillId="0" borderId="0" xfId="0" applyNumberFormat="1" applyProtection="1">
      <protection hidden="1"/>
    </xf>
    <xf numFmtId="0" fontId="0" fillId="0" borderId="3" xfId="0" applyBorder="1" applyAlignment="1" applyProtection="1">
      <alignment horizontal="left" vertical="center"/>
      <protection hidden="1"/>
    </xf>
    <xf numFmtId="166" fontId="5" fillId="2" borderId="41" xfId="0" applyNumberFormat="1" applyFont="1" applyFill="1" applyBorder="1" applyAlignment="1" applyProtection="1">
      <alignment horizontal="right" vertical="center"/>
      <protection locked="0"/>
    </xf>
    <xf numFmtId="0" fontId="10" fillId="2" borderId="119" xfId="0" applyFont="1" applyFill="1" applyBorder="1" applyAlignment="1" applyProtection="1">
      <alignment horizontal="center"/>
      <protection hidden="1"/>
    </xf>
    <xf numFmtId="0" fontId="54" fillId="0" borderId="9" xfId="0" applyFont="1" applyBorder="1" applyAlignment="1" applyProtection="1">
      <alignment horizontal="center"/>
      <protection hidden="1"/>
    </xf>
    <xf numFmtId="0" fontId="54" fillId="0" borderId="120" xfId="0" applyFont="1" applyBorder="1" applyAlignment="1" applyProtection="1">
      <alignment horizontal="center"/>
      <protection hidden="1"/>
    </xf>
    <xf numFmtId="0" fontId="5" fillId="0" borderId="118" xfId="0" applyFont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center" vertical="center"/>
      <protection hidden="1"/>
    </xf>
    <xf numFmtId="0" fontId="54" fillId="0" borderId="9" xfId="0" applyFont="1" applyBorder="1" applyAlignment="1" applyProtection="1">
      <alignment horizontal="center" vertical="center"/>
      <protection hidden="1"/>
    </xf>
    <xf numFmtId="0" fontId="54" fillId="0" borderId="120" xfId="0" applyFont="1" applyBorder="1" applyAlignment="1" applyProtection="1">
      <alignment horizontal="center" vertical="center"/>
      <protection hidden="1"/>
    </xf>
    <xf numFmtId="0" fontId="7" fillId="0" borderId="121" xfId="0" applyFont="1" applyBorder="1" applyAlignment="1" applyProtection="1">
      <alignment horizontal="center" vertical="center"/>
      <protection hidden="1"/>
    </xf>
    <xf numFmtId="0" fontId="5" fillId="0" borderId="121" xfId="0" applyFont="1" applyBorder="1" applyAlignment="1" applyProtection="1">
      <alignment horizontal="center" vertical="center"/>
      <protection hidden="1"/>
    </xf>
    <xf numFmtId="0" fontId="5" fillId="0" borderId="23" xfId="0" applyFont="1" applyBorder="1" applyAlignment="1" applyProtection="1">
      <alignment horizontal="center" vertical="center"/>
      <protection hidden="1"/>
    </xf>
    <xf numFmtId="0" fontId="54" fillId="0" borderId="6" xfId="0" applyFont="1" applyBorder="1" applyAlignment="1" applyProtection="1">
      <alignment horizontal="center" vertical="center"/>
      <protection hidden="1"/>
    </xf>
    <xf numFmtId="0" fontId="5" fillId="0" borderId="18" xfId="0" applyFont="1" applyBorder="1" applyAlignment="1" applyProtection="1">
      <alignment horizontal="center" vertical="center"/>
      <protection hidden="1"/>
    </xf>
    <xf numFmtId="178" fontId="6" fillId="0" borderId="122" xfId="0" applyNumberFormat="1" applyFont="1" applyBorder="1" applyAlignment="1" applyProtection="1">
      <alignment horizontal="center" vertical="center"/>
      <protection hidden="1"/>
    </xf>
    <xf numFmtId="178" fontId="6" fillId="0" borderId="123" xfId="0" applyNumberFormat="1" applyFont="1" applyBorder="1" applyAlignment="1" applyProtection="1">
      <alignment horizontal="center" vertical="center"/>
      <protection hidden="1"/>
    </xf>
    <xf numFmtId="2" fontId="44" fillId="0" borderId="124" xfId="0" applyNumberFormat="1" applyFont="1" applyBorder="1" applyAlignment="1" applyProtection="1">
      <alignment horizontal="center"/>
      <protection hidden="1"/>
    </xf>
    <xf numFmtId="2" fontId="44" fillId="0" borderId="125" xfId="0" applyNumberFormat="1" applyFont="1" applyBorder="1" applyAlignment="1" applyProtection="1">
      <alignment horizontal="center"/>
      <protection hidden="1"/>
    </xf>
    <xf numFmtId="2" fontId="45" fillId="0" borderId="125" xfId="0" applyNumberFormat="1" applyFont="1" applyBorder="1" applyAlignment="1" applyProtection="1">
      <alignment horizontal="center"/>
      <protection hidden="1"/>
    </xf>
    <xf numFmtId="2" fontId="6" fillId="0" borderId="126" xfId="0" applyNumberFormat="1" applyFont="1" applyBorder="1" applyAlignment="1" applyProtection="1">
      <alignment horizontal="center" vertical="center"/>
      <protection hidden="1"/>
    </xf>
    <xf numFmtId="2" fontId="6" fillId="0" borderId="127" xfId="0" applyNumberFormat="1" applyFont="1" applyBorder="1" applyAlignment="1" applyProtection="1">
      <alignment horizontal="center" vertical="center"/>
      <protection hidden="1"/>
    </xf>
    <xf numFmtId="164" fontId="15" fillId="0" borderId="0" xfId="0" applyNumberFormat="1" applyFont="1" applyAlignment="1" applyProtection="1">
      <alignment horizontal="left" vertical="center"/>
      <protection hidden="1"/>
    </xf>
    <xf numFmtId="164" fontId="0" fillId="0" borderId="0" xfId="0" applyNumberFormat="1" applyAlignment="1" applyProtection="1">
      <alignment horizontal="center" vertical="center"/>
      <protection hidden="1"/>
    </xf>
    <xf numFmtId="164" fontId="0" fillId="0" borderId="126" xfId="0" applyNumberFormat="1" applyBorder="1" applyAlignment="1" applyProtection="1">
      <alignment horizontal="center" vertical="center"/>
      <protection hidden="1"/>
    </xf>
    <xf numFmtId="164" fontId="0" fillId="0" borderId="19" xfId="0" applyNumberFormat="1" applyBorder="1" applyAlignment="1" applyProtection="1">
      <alignment horizontal="center" vertical="center"/>
      <protection hidden="1"/>
    </xf>
    <xf numFmtId="0" fontId="0" fillId="0" borderId="19" xfId="0" applyBorder="1" applyProtection="1">
      <protection hidden="1"/>
    </xf>
    <xf numFmtId="164" fontId="0" fillId="0" borderId="19" xfId="0" applyNumberFormat="1" applyBorder="1" applyAlignment="1" applyProtection="1">
      <alignment horizontal="right" vertical="center"/>
      <protection hidden="1"/>
    </xf>
    <xf numFmtId="178" fontId="7" fillId="0" borderId="23" xfId="0" applyNumberFormat="1" applyFont="1" applyBorder="1" applyAlignment="1" applyProtection="1">
      <alignment horizontal="center"/>
      <protection hidden="1"/>
    </xf>
    <xf numFmtId="164" fontId="0" fillId="2" borderId="128" xfId="0" applyNumberFormat="1" applyFill="1" applyBorder="1" applyAlignment="1" applyProtection="1">
      <alignment horizontal="center" vertical="center"/>
      <protection hidden="1"/>
    </xf>
    <xf numFmtId="164" fontId="0" fillId="2" borderId="129" xfId="0" applyNumberFormat="1" applyFill="1" applyBorder="1" applyAlignment="1" applyProtection="1">
      <alignment horizontal="center" vertical="center"/>
      <protection hidden="1"/>
    </xf>
    <xf numFmtId="0" fontId="0" fillId="2" borderId="129" xfId="0" applyFill="1" applyBorder="1" applyProtection="1">
      <protection hidden="1"/>
    </xf>
    <xf numFmtId="164" fontId="0" fillId="2" borderId="129" xfId="0" applyNumberFormat="1" applyFill="1" applyBorder="1" applyAlignment="1" applyProtection="1">
      <alignment horizontal="right" vertical="center"/>
      <protection hidden="1"/>
    </xf>
    <xf numFmtId="178" fontId="7" fillId="2" borderId="123" xfId="0" applyNumberFormat="1" applyFont="1" applyFill="1" applyBorder="1" applyAlignment="1" applyProtection="1">
      <alignment horizontal="center"/>
      <protection hidden="1"/>
    </xf>
    <xf numFmtId="164" fontId="0" fillId="0" borderId="128" xfId="0" applyNumberFormat="1" applyBorder="1" applyAlignment="1" applyProtection="1">
      <alignment horizontal="center" vertical="center"/>
      <protection hidden="1"/>
    </xf>
    <xf numFmtId="164" fontId="0" fillId="0" borderId="129" xfId="0" applyNumberFormat="1" applyBorder="1" applyAlignment="1" applyProtection="1">
      <alignment horizontal="center" vertical="center"/>
      <protection hidden="1"/>
    </xf>
    <xf numFmtId="0" fontId="0" fillId="0" borderId="129" xfId="0" applyBorder="1" applyProtection="1">
      <protection hidden="1"/>
    </xf>
    <xf numFmtId="164" fontId="0" fillId="0" borderId="129" xfId="0" applyNumberFormat="1" applyBorder="1" applyAlignment="1" applyProtection="1">
      <alignment horizontal="right" vertical="center"/>
      <protection hidden="1"/>
    </xf>
    <xf numFmtId="178" fontId="7" fillId="0" borderId="123" xfId="0" applyNumberFormat="1" applyFont="1" applyBorder="1" applyAlignment="1" applyProtection="1">
      <alignment horizontal="center"/>
      <protection hidden="1"/>
    </xf>
    <xf numFmtId="0" fontId="0" fillId="0" borderId="128" xfId="0" applyBorder="1" applyProtection="1">
      <protection hidden="1"/>
    </xf>
    <xf numFmtId="0" fontId="0" fillId="0" borderId="129" xfId="0" applyBorder="1" applyAlignment="1" applyProtection="1">
      <alignment horizontal="right"/>
      <protection hidden="1"/>
    </xf>
    <xf numFmtId="0" fontId="0" fillId="2" borderId="128" xfId="0" applyFill="1" applyBorder="1" applyProtection="1">
      <protection hidden="1"/>
    </xf>
    <xf numFmtId="0" fontId="0" fillId="2" borderId="129" xfId="0" applyFill="1" applyBorder="1" applyAlignment="1" applyProtection="1">
      <alignment horizontal="right"/>
      <protection hidden="1"/>
    </xf>
    <xf numFmtId="178" fontId="7" fillId="0" borderId="123" xfId="0" applyNumberFormat="1" applyFont="1" applyBorder="1" applyAlignment="1" applyProtection="1">
      <alignment horizontal="center" vertical="center"/>
      <protection hidden="1"/>
    </xf>
    <xf numFmtId="178" fontId="7" fillId="2" borderId="123" xfId="0" applyNumberFormat="1" applyFont="1" applyFill="1" applyBorder="1" applyAlignment="1" applyProtection="1">
      <alignment horizontal="center" vertical="center"/>
      <protection hidden="1"/>
    </xf>
    <xf numFmtId="164" fontId="0" fillId="0" borderId="128" xfId="0" applyNumberFormat="1" applyBorder="1" applyAlignment="1" applyProtection="1">
      <alignment vertical="center"/>
      <protection hidden="1"/>
    </xf>
    <xf numFmtId="164" fontId="0" fillId="0" borderId="129" xfId="0" applyNumberFormat="1" applyBorder="1" applyAlignment="1" applyProtection="1">
      <alignment vertical="center"/>
      <protection hidden="1"/>
    </xf>
    <xf numFmtId="0" fontId="7" fillId="0" borderId="123" xfId="0" applyFont="1" applyBorder="1" applyAlignment="1" applyProtection="1">
      <alignment horizontal="center" vertical="center"/>
      <protection hidden="1"/>
    </xf>
    <xf numFmtId="164" fontId="0" fillId="2" borderId="128" xfId="0" applyNumberFormat="1" applyFill="1" applyBorder="1" applyAlignment="1" applyProtection="1">
      <alignment vertical="center"/>
      <protection hidden="1"/>
    </xf>
    <xf numFmtId="164" fontId="0" fillId="2" borderId="129" xfId="0" applyNumberFormat="1" applyFill="1" applyBorder="1" applyAlignment="1" applyProtection="1">
      <alignment vertical="center"/>
      <protection hidden="1"/>
    </xf>
    <xf numFmtId="1" fontId="7" fillId="2" borderId="123" xfId="0" applyNumberFormat="1" applyFont="1" applyFill="1" applyBorder="1" applyAlignment="1" applyProtection="1">
      <alignment horizontal="center" vertical="center"/>
      <protection hidden="1"/>
    </xf>
    <xf numFmtId="1" fontId="7" fillId="0" borderId="123" xfId="0" applyNumberFormat="1" applyFont="1" applyBorder="1" applyAlignment="1" applyProtection="1">
      <alignment horizontal="center"/>
      <protection hidden="1"/>
    </xf>
    <xf numFmtId="164" fontId="0" fillId="2" borderId="127" xfId="0" applyNumberFormat="1" applyFill="1" applyBorder="1" applyAlignment="1" applyProtection="1">
      <alignment vertical="center"/>
      <protection hidden="1"/>
    </xf>
    <xf numFmtId="164" fontId="0" fillId="2" borderId="21" xfId="0" applyNumberFormat="1" applyFill="1" applyBorder="1" applyAlignment="1" applyProtection="1">
      <alignment vertical="center"/>
      <protection hidden="1"/>
    </xf>
    <xf numFmtId="0" fontId="0" fillId="2" borderId="21" xfId="0" applyFill="1" applyBorder="1" applyProtection="1">
      <protection hidden="1"/>
    </xf>
    <xf numFmtId="164" fontId="0" fillId="2" borderId="21" xfId="0" applyNumberFormat="1" applyFill="1" applyBorder="1" applyAlignment="1" applyProtection="1">
      <alignment horizontal="right" vertical="center"/>
      <protection hidden="1"/>
    </xf>
    <xf numFmtId="178" fontId="7" fillId="2" borderId="22" xfId="0" applyNumberFormat="1" applyFont="1" applyFill="1" applyBorder="1" applyAlignment="1" applyProtection="1">
      <alignment horizontal="center"/>
      <protection hidden="1"/>
    </xf>
    <xf numFmtId="2" fontId="6" fillId="0" borderId="130" xfId="0" applyNumberFormat="1" applyFont="1" applyBorder="1" applyAlignment="1" applyProtection="1">
      <alignment horizontal="center"/>
      <protection hidden="1"/>
    </xf>
    <xf numFmtId="2" fontId="6" fillId="0" borderId="53" xfId="0" applyNumberFormat="1" applyFont="1" applyBorder="1" applyAlignment="1" applyProtection="1">
      <alignment horizontal="center" vertical="center"/>
      <protection hidden="1"/>
    </xf>
    <xf numFmtId="178" fontId="6" fillId="0" borderId="132" xfId="0" applyNumberFormat="1" applyFont="1" applyBorder="1" applyAlignment="1" applyProtection="1">
      <alignment horizontal="center" vertical="center"/>
      <protection hidden="1"/>
    </xf>
    <xf numFmtId="178" fontId="6" fillId="0" borderId="133" xfId="0" applyNumberFormat="1" applyFont="1" applyBorder="1" applyAlignment="1" applyProtection="1">
      <alignment horizontal="center" vertical="center"/>
      <protection hidden="1"/>
    </xf>
    <xf numFmtId="2" fontId="44" fillId="0" borderId="134" xfId="0" applyNumberFormat="1" applyFont="1" applyBorder="1" applyAlignment="1" applyProtection="1">
      <alignment horizontal="center"/>
      <protection hidden="1"/>
    </xf>
    <xf numFmtId="2" fontId="44" fillId="0" borderId="135" xfId="0" applyNumberFormat="1" applyFont="1" applyBorder="1" applyAlignment="1" applyProtection="1">
      <alignment horizontal="center"/>
      <protection hidden="1"/>
    </xf>
    <xf numFmtId="2" fontId="45" fillId="0" borderId="135" xfId="0" applyNumberFormat="1" applyFont="1" applyBorder="1" applyAlignment="1" applyProtection="1">
      <alignment horizontal="center"/>
      <protection hidden="1"/>
    </xf>
    <xf numFmtId="0" fontId="0" fillId="0" borderId="131" xfId="0" applyBorder="1"/>
    <xf numFmtId="164" fontId="6" fillId="0" borderId="136" xfId="0" applyNumberFormat="1" applyFont="1" applyBorder="1" applyAlignment="1">
      <alignment horizontal="right"/>
    </xf>
    <xf numFmtId="0" fontId="54" fillId="0" borderId="18" xfId="0" applyFont="1" applyBorder="1" applyAlignment="1" applyProtection="1">
      <alignment horizontal="center" vertical="center"/>
      <protection hidden="1"/>
    </xf>
    <xf numFmtId="180" fontId="18" fillId="0" borderId="0" xfId="0" applyNumberFormat="1" applyFont="1" applyAlignment="1" applyProtection="1">
      <alignment horizontal="center" vertical="center"/>
      <protection hidden="1"/>
    </xf>
    <xf numFmtId="173" fontId="6" fillId="0" borderId="46" xfId="0" applyNumberFormat="1" applyFont="1" applyBorder="1" applyAlignment="1" applyProtection="1">
      <alignment horizontal="right"/>
      <protection hidden="1"/>
    </xf>
    <xf numFmtId="0" fontId="30" fillId="0" borderId="2" xfId="0" applyFont="1" applyBorder="1" applyAlignment="1" applyProtection="1">
      <alignment horizontal="right" vertical="center"/>
      <protection hidden="1"/>
    </xf>
    <xf numFmtId="178" fontId="6" fillId="2" borderId="137" xfId="0" applyNumberFormat="1" applyFont="1" applyFill="1" applyBorder="1" applyAlignment="1" applyProtection="1">
      <alignment horizontal="center" vertical="center"/>
      <protection hidden="1"/>
    </xf>
    <xf numFmtId="178" fontId="6" fillId="0" borderId="138" xfId="0" applyNumberFormat="1" applyFont="1" applyBorder="1" applyAlignment="1" applyProtection="1">
      <alignment horizontal="center" vertical="center"/>
      <protection hidden="1"/>
    </xf>
    <xf numFmtId="182" fontId="6" fillId="0" borderId="138" xfId="0" applyNumberFormat="1" applyFont="1" applyBorder="1" applyAlignment="1" applyProtection="1">
      <alignment horizontal="center" vertical="center"/>
      <protection hidden="1"/>
    </xf>
    <xf numFmtId="2" fontId="44" fillId="0" borderId="138" xfId="0" applyNumberFormat="1" applyFont="1" applyBorder="1" applyAlignment="1" applyProtection="1">
      <alignment horizontal="center"/>
      <protection hidden="1"/>
    </xf>
    <xf numFmtId="2" fontId="45" fillId="0" borderId="138" xfId="0" applyNumberFormat="1" applyFont="1" applyBorder="1" applyAlignment="1" applyProtection="1">
      <alignment horizontal="center"/>
      <protection hidden="1"/>
    </xf>
    <xf numFmtId="2" fontId="45" fillId="0" borderId="139" xfId="0" applyNumberFormat="1" applyFont="1" applyBorder="1" applyAlignment="1" applyProtection="1">
      <alignment horizontal="center"/>
      <protection hidden="1"/>
    </xf>
    <xf numFmtId="2" fontId="45" fillId="0" borderId="123" xfId="0" applyNumberFormat="1" applyFont="1" applyBorder="1" applyAlignment="1" applyProtection="1">
      <alignment horizontal="center"/>
      <protection hidden="1"/>
    </xf>
    <xf numFmtId="2" fontId="45" fillId="0" borderId="140" xfId="0" applyNumberFormat="1" applyFont="1" applyBorder="1" applyAlignment="1" applyProtection="1">
      <alignment horizontal="center"/>
      <protection hidden="1"/>
    </xf>
    <xf numFmtId="2" fontId="45" fillId="0" borderId="141" xfId="0" applyNumberFormat="1" applyFont="1" applyBorder="1" applyAlignment="1" applyProtection="1">
      <alignment horizontal="center"/>
      <protection hidden="1"/>
    </xf>
    <xf numFmtId="0" fontId="54" fillId="0" borderId="142" xfId="0" applyFont="1" applyBorder="1" applyAlignment="1" applyProtection="1">
      <alignment horizontal="center" vertical="center"/>
      <protection hidden="1"/>
    </xf>
    <xf numFmtId="0" fontId="54" fillId="0" borderId="143" xfId="0" applyFont="1" applyBorder="1" applyAlignment="1" applyProtection="1">
      <alignment horizontal="center" vertical="center"/>
      <protection hidden="1"/>
    </xf>
    <xf numFmtId="0" fontId="5" fillId="2" borderId="6" xfId="0" applyFont="1" applyFill="1" applyBorder="1" applyAlignment="1" applyProtection="1">
      <alignment horizontal="center" vertical="center"/>
      <protection hidden="1"/>
    </xf>
    <xf numFmtId="182" fontId="6" fillId="4" borderId="18" xfId="0" applyNumberFormat="1" applyFont="1" applyFill="1" applyBorder="1" applyAlignment="1" applyProtection="1">
      <alignment horizontal="center" vertical="center"/>
      <protection hidden="1"/>
    </xf>
    <xf numFmtId="178" fontId="6" fillId="2" borderId="124" xfId="0" applyNumberFormat="1" applyFont="1" applyFill="1" applyBorder="1" applyAlignment="1" applyProtection="1">
      <alignment horizontal="center" vertical="center"/>
      <protection hidden="1"/>
    </xf>
    <xf numFmtId="178" fontId="6" fillId="0" borderId="125" xfId="0" applyNumberFormat="1" applyFont="1" applyBorder="1" applyAlignment="1" applyProtection="1">
      <alignment horizontal="center" vertical="center"/>
      <protection hidden="1"/>
    </xf>
    <xf numFmtId="182" fontId="6" fillId="0" borderId="123" xfId="0" applyNumberFormat="1" applyFont="1" applyBorder="1" applyAlignment="1" applyProtection="1">
      <alignment horizontal="center" vertical="center"/>
      <protection hidden="1"/>
    </xf>
    <xf numFmtId="178" fontId="6" fillId="2" borderId="134" xfId="0" applyNumberFormat="1" applyFont="1" applyFill="1" applyBorder="1" applyAlignment="1" applyProtection="1">
      <alignment horizontal="center" vertical="center"/>
      <protection hidden="1"/>
    </xf>
    <xf numFmtId="178" fontId="6" fillId="0" borderId="135" xfId="0" applyNumberFormat="1" applyFont="1" applyBorder="1" applyAlignment="1" applyProtection="1">
      <alignment horizontal="center" vertical="center"/>
      <protection hidden="1"/>
    </xf>
    <xf numFmtId="182" fontId="6" fillId="0" borderId="133" xfId="0" applyNumberFormat="1" applyFont="1" applyBorder="1" applyAlignment="1" applyProtection="1">
      <alignment horizontal="center" vertical="center"/>
      <protection hidden="1"/>
    </xf>
    <xf numFmtId="182" fontId="0" fillId="0" borderId="124" xfId="0" applyNumberFormat="1" applyBorder="1" applyAlignment="1">
      <alignment horizontal="center"/>
    </xf>
    <xf numFmtId="182" fontId="0" fillId="0" borderId="125" xfId="0" applyNumberFormat="1" applyBorder="1" applyAlignment="1">
      <alignment horizontal="center"/>
    </xf>
    <xf numFmtId="182" fontId="0" fillId="0" borderId="123" xfId="0" applyNumberFormat="1" applyBorder="1" applyAlignment="1">
      <alignment horizontal="center"/>
    </xf>
    <xf numFmtId="182" fontId="0" fillId="0" borderId="7" xfId="0" applyNumberFormat="1" applyBorder="1" applyAlignment="1">
      <alignment horizontal="center"/>
    </xf>
    <xf numFmtId="182" fontId="0" fillId="0" borderId="8" xfId="0" applyNumberFormat="1" applyBorder="1" applyAlignment="1">
      <alignment horizontal="center"/>
    </xf>
    <xf numFmtId="182" fontId="0" fillId="0" borderId="135" xfId="0" applyNumberFormat="1" applyBorder="1" applyAlignment="1">
      <alignment horizontal="center"/>
    </xf>
    <xf numFmtId="182" fontId="0" fillId="0" borderId="133" xfId="0" applyNumberFormat="1" applyBorder="1" applyAlignment="1">
      <alignment horizontal="center"/>
    </xf>
    <xf numFmtId="2" fontId="6" fillId="5" borderId="138" xfId="0" applyNumberFormat="1" applyFont="1" applyFill="1" applyBorder="1" applyAlignment="1" applyProtection="1">
      <alignment horizontal="center"/>
      <protection hidden="1"/>
    </xf>
    <xf numFmtId="183" fontId="6" fillId="0" borderId="145" xfId="0" applyNumberFormat="1" applyFont="1" applyBorder="1"/>
    <xf numFmtId="183" fontId="6" fillId="0" borderId="146" xfId="0" applyNumberFormat="1" applyFont="1" applyBorder="1"/>
    <xf numFmtId="0" fontId="6" fillId="0" borderId="146" xfId="0" applyFont="1" applyBorder="1" applyAlignment="1" applyProtection="1">
      <alignment vertical="center"/>
      <protection hidden="1"/>
    </xf>
    <xf numFmtId="184" fontId="6" fillId="0" borderId="146" xfId="0" applyNumberFormat="1" applyFont="1" applyBorder="1"/>
    <xf numFmtId="0" fontId="6" fillId="0" borderId="146" xfId="0" applyFont="1" applyBorder="1" applyProtection="1">
      <protection hidden="1"/>
    </xf>
    <xf numFmtId="185" fontId="16" fillId="0" borderId="147" xfId="0" applyNumberFormat="1" applyFont="1" applyBorder="1" applyAlignment="1">
      <alignment horizontal="center" vertical="center"/>
    </xf>
    <xf numFmtId="0" fontId="56" fillId="0" borderId="0" xfId="0" applyFont="1" applyAlignment="1" applyProtection="1">
      <alignment vertical="top"/>
      <protection hidden="1"/>
    </xf>
    <xf numFmtId="20" fontId="8" fillId="0" borderId="4" xfId="0" applyNumberFormat="1" applyFont="1" applyBorder="1" applyAlignment="1" applyProtection="1">
      <alignment horizontal="center" vertical="center"/>
      <protection hidden="1"/>
    </xf>
    <xf numFmtId="170" fontId="6" fillId="0" borderId="45" xfId="0" applyNumberFormat="1" applyFont="1" applyBorder="1" applyAlignment="1" applyProtection="1">
      <alignment horizontal="right" vertical="center"/>
      <protection hidden="1"/>
    </xf>
    <xf numFmtId="170" fontId="6" fillId="0" borderId="69" xfId="0" applyNumberFormat="1" applyFont="1" applyBorder="1" applyAlignment="1" applyProtection="1">
      <alignment horizontal="right" vertical="center"/>
      <protection hidden="1"/>
    </xf>
    <xf numFmtId="170" fontId="6" fillId="0" borderId="61" xfId="0" applyNumberFormat="1" applyFont="1" applyBorder="1" applyAlignment="1" applyProtection="1">
      <alignment horizontal="right" vertical="center"/>
      <protection hidden="1"/>
    </xf>
    <xf numFmtId="0" fontId="23" fillId="0" borderId="57" xfId="0" applyFont="1" applyBorder="1" applyAlignment="1" applyProtection="1">
      <alignment horizontal="right"/>
      <protection hidden="1"/>
    </xf>
    <xf numFmtId="170" fontId="6" fillId="0" borderId="58" xfId="0" applyNumberFormat="1" applyFont="1" applyBorder="1" applyAlignment="1" applyProtection="1">
      <alignment horizontal="right" vertical="center"/>
      <protection hidden="1"/>
    </xf>
    <xf numFmtId="0" fontId="24" fillId="0" borderId="68" xfId="0" applyFont="1" applyBorder="1" applyAlignment="1" applyProtection="1">
      <alignment horizontal="right"/>
      <protection hidden="1"/>
    </xf>
    <xf numFmtId="180" fontId="0" fillId="2" borderId="41" xfId="0" applyNumberFormat="1" applyFill="1" applyBorder="1" applyAlignment="1" applyProtection="1">
      <alignment horizontal="center" vertical="center"/>
      <protection locked="0"/>
    </xf>
    <xf numFmtId="0" fontId="23" fillId="0" borderId="59" xfId="0" applyFont="1" applyBorder="1" applyAlignment="1" applyProtection="1">
      <alignment horizontal="right"/>
      <protection hidden="1"/>
    </xf>
    <xf numFmtId="0" fontId="0" fillId="0" borderId="57" xfId="0" applyBorder="1" applyAlignment="1" applyProtection="1">
      <alignment horizontal="right"/>
      <protection hidden="1"/>
    </xf>
    <xf numFmtId="0" fontId="31" fillId="0" borderId="59" xfId="0" applyFont="1" applyBorder="1" applyAlignment="1" applyProtection="1">
      <alignment horizontal="right"/>
      <protection hidden="1"/>
    </xf>
    <xf numFmtId="0" fontId="53" fillId="0" borderId="0" xfId="0" applyFont="1"/>
    <xf numFmtId="178" fontId="7" fillId="0" borderId="0" xfId="0" applyNumberFormat="1" applyFont="1" applyProtection="1">
      <protection hidden="1"/>
    </xf>
    <xf numFmtId="164" fontId="7" fillId="0" borderId="0" xfId="0" applyNumberFormat="1" applyFont="1" applyAlignment="1" applyProtection="1">
      <alignment horizontal="center"/>
      <protection hidden="1"/>
    </xf>
    <xf numFmtId="0" fontId="0" fillId="0" borderId="57" xfId="0" applyBorder="1" applyAlignment="1" applyProtection="1">
      <alignment horizontal="right" vertical="center"/>
      <protection hidden="1"/>
    </xf>
    <xf numFmtId="178" fontId="0" fillId="0" borderId="58" xfId="0" applyNumberFormat="1" applyBorder="1" applyAlignment="1" applyProtection="1">
      <alignment horizontal="right" vertical="center"/>
      <protection hidden="1"/>
    </xf>
    <xf numFmtId="0" fontId="0" fillId="0" borderId="60" xfId="0" applyBorder="1" applyAlignment="1" applyProtection="1">
      <alignment horizontal="right" vertical="center"/>
      <protection hidden="1"/>
    </xf>
    <xf numFmtId="178" fontId="0" fillId="0" borderId="61" xfId="0" applyNumberFormat="1" applyBorder="1" applyAlignment="1" applyProtection="1">
      <alignment horizontal="right" vertical="center"/>
      <protection hidden="1"/>
    </xf>
    <xf numFmtId="0" fontId="27" fillId="0" borderId="0" xfId="0" applyFont="1" applyAlignment="1" applyProtection="1">
      <alignment vertical="center"/>
      <protection hidden="1"/>
    </xf>
    <xf numFmtId="0" fontId="58" fillId="0" borderId="0" xfId="0" applyFont="1" applyAlignment="1">
      <alignment vertical="center"/>
    </xf>
    <xf numFmtId="164" fontId="58" fillId="0" borderId="0" xfId="0" applyNumberFormat="1" applyFont="1" applyAlignment="1" applyProtection="1">
      <alignment vertical="center"/>
      <protection hidden="1"/>
    </xf>
    <xf numFmtId="173" fontId="59" fillId="0" borderId="1" xfId="0" applyNumberFormat="1" applyFont="1" applyBorder="1" applyAlignment="1" applyProtection="1">
      <alignment horizontal="right" vertical="center"/>
      <protection hidden="1"/>
    </xf>
    <xf numFmtId="176" fontId="21" fillId="0" borderId="2" xfId="0" applyNumberFormat="1" applyFont="1" applyBorder="1" applyAlignment="1" applyProtection="1">
      <alignment horizontal="right" vertical="center"/>
      <protection hidden="1"/>
    </xf>
    <xf numFmtId="170" fontId="21" fillId="0" borderId="3" xfId="0" applyNumberFormat="1" applyFont="1" applyBorder="1" applyAlignment="1" applyProtection="1">
      <alignment horizontal="left" vertical="center"/>
      <protection hidden="1"/>
    </xf>
    <xf numFmtId="175" fontId="21" fillId="0" borderId="2" xfId="0" applyNumberFormat="1" applyFont="1" applyBorder="1" applyAlignment="1" applyProtection="1">
      <alignment horizontal="right" vertical="center"/>
      <protection hidden="1"/>
    </xf>
    <xf numFmtId="176" fontId="21" fillId="0" borderId="2" xfId="0" applyNumberFormat="1" applyFont="1" applyBorder="1" applyAlignment="1" applyProtection="1">
      <alignment horizontal="center" vertical="center"/>
      <protection hidden="1"/>
    </xf>
    <xf numFmtId="170" fontId="60" fillId="0" borderId="3" xfId="0" applyNumberFormat="1" applyFont="1" applyBorder="1" applyAlignment="1" applyProtection="1">
      <alignment horizontal="left" vertical="center"/>
      <protection hidden="1"/>
    </xf>
    <xf numFmtId="0" fontId="0" fillId="0" borderId="1" xfId="0" applyBorder="1"/>
    <xf numFmtId="0" fontId="0" fillId="0" borderId="3" xfId="0" applyBorder="1" applyAlignment="1" applyProtection="1">
      <alignment horizontal="right" vertical="center"/>
      <protection hidden="1"/>
    </xf>
    <xf numFmtId="0" fontId="23" fillId="0" borderId="0" xfId="0" applyFont="1"/>
    <xf numFmtId="165" fontId="0" fillId="0" borderId="0" xfId="0" applyNumberFormat="1" applyAlignment="1">
      <alignment horizontal="center"/>
    </xf>
    <xf numFmtId="165" fontId="0" fillId="0" borderId="0" xfId="0" applyNumberFormat="1"/>
    <xf numFmtId="0" fontId="5" fillId="0" borderId="41" xfId="0" applyFont="1" applyFill="1" applyBorder="1" applyAlignment="1" applyProtection="1">
      <alignment horizontal="center" vertical="center"/>
      <protection hidden="1"/>
    </xf>
    <xf numFmtId="166" fontId="0" fillId="0" borderId="0" xfId="0" applyNumberFormat="1"/>
    <xf numFmtId="186" fontId="6" fillId="0" borderId="78" xfId="0" applyNumberFormat="1" applyFont="1" applyBorder="1" applyAlignment="1">
      <alignment horizontal="right" vertical="center"/>
    </xf>
    <xf numFmtId="186" fontId="6" fillId="0" borderId="79" xfId="0" applyNumberFormat="1" applyFont="1" applyBorder="1" applyAlignment="1">
      <alignment horizontal="right" vertical="center"/>
    </xf>
    <xf numFmtId="0" fontId="7" fillId="0" borderId="0" xfId="0" applyFont="1" applyAlignment="1" applyProtection="1">
      <alignment horizontal="left" vertical="center"/>
      <protection hidden="1"/>
    </xf>
    <xf numFmtId="0" fontId="6" fillId="2" borderId="9" xfId="0" applyFont="1" applyFill="1" applyBorder="1" applyAlignment="1" applyProtection="1">
      <alignment horizontal="center" vertical="center"/>
      <protection locked="0"/>
    </xf>
    <xf numFmtId="21" fontId="9" fillId="0" borderId="5" xfId="0" applyNumberFormat="1" applyFont="1" applyBorder="1" applyAlignment="1" applyProtection="1">
      <alignment horizontal="right" vertical="center"/>
      <protection hidden="1"/>
    </xf>
    <xf numFmtId="0" fontId="21" fillId="0" borderId="149" xfId="0" applyFont="1" applyBorder="1" applyAlignment="1" applyProtection="1">
      <alignment horizontal="center" vertical="center"/>
      <protection hidden="1"/>
    </xf>
    <xf numFmtId="0" fontId="21" fillId="0" borderId="150" xfId="0" applyFont="1" applyBorder="1" applyAlignment="1" applyProtection="1">
      <alignment horizontal="center" vertical="center"/>
      <protection hidden="1"/>
    </xf>
    <xf numFmtId="0" fontId="5" fillId="0" borderId="153" xfId="0" applyFont="1" applyBorder="1" applyAlignment="1" applyProtection="1">
      <alignment horizontal="center" vertical="center"/>
      <protection hidden="1"/>
    </xf>
    <xf numFmtId="0" fontId="21" fillId="0" borderId="154" xfId="0" applyFont="1" applyBorder="1" applyAlignment="1" applyProtection="1">
      <alignment horizontal="center"/>
      <protection hidden="1"/>
    </xf>
    <xf numFmtId="0" fontId="0" fillId="0" borderId="155" xfId="0" applyBorder="1" applyAlignment="1" applyProtection="1">
      <alignment horizontal="center" vertical="center"/>
      <protection hidden="1"/>
    </xf>
    <xf numFmtId="171" fontId="13" fillId="0" borderId="58" xfId="0" applyNumberFormat="1" applyFont="1" applyBorder="1" applyAlignment="1" applyProtection="1">
      <alignment horizontal="right" vertical="center"/>
      <protection hidden="1"/>
    </xf>
    <xf numFmtId="171" fontId="13" fillId="0" borderId="45" xfId="0" applyNumberFormat="1" applyFont="1" applyBorder="1" applyAlignment="1" applyProtection="1">
      <alignment horizontal="right" vertical="center"/>
      <protection hidden="1"/>
    </xf>
    <xf numFmtId="171" fontId="6" fillId="0" borderId="45" xfId="0" applyNumberFormat="1" applyFont="1" applyBorder="1" applyAlignment="1" applyProtection="1">
      <alignment horizontal="right" vertical="center"/>
      <protection hidden="1"/>
    </xf>
    <xf numFmtId="171" fontId="6" fillId="0" borderId="69" xfId="0" applyNumberFormat="1" applyFont="1" applyBorder="1" applyAlignment="1" applyProtection="1">
      <alignment horizontal="right" vertical="center"/>
      <protection hidden="1"/>
    </xf>
    <xf numFmtId="171" fontId="13" fillId="0" borderId="69" xfId="0" applyNumberFormat="1" applyFont="1" applyBorder="1" applyAlignment="1" applyProtection="1">
      <alignment horizontal="right" vertical="center"/>
      <protection hidden="1"/>
    </xf>
    <xf numFmtId="171" fontId="6" fillId="0" borderId="58" xfId="0" applyNumberFormat="1" applyFont="1" applyBorder="1" applyAlignment="1" applyProtection="1">
      <alignment horizontal="right" vertical="center"/>
      <protection hidden="1"/>
    </xf>
    <xf numFmtId="171" fontId="13" fillId="0" borderId="61" xfId="0" applyNumberFormat="1" applyFont="1" applyBorder="1" applyAlignment="1" applyProtection="1">
      <alignment horizontal="right" vertical="center"/>
      <protection hidden="1"/>
    </xf>
    <xf numFmtId="171" fontId="13" fillId="0" borderId="156" xfId="0" applyNumberFormat="1" applyFont="1" applyBorder="1" applyAlignment="1" applyProtection="1">
      <alignment horizontal="center" vertical="center"/>
      <protection hidden="1"/>
    </xf>
    <xf numFmtId="171" fontId="13" fillId="0" borderId="157" xfId="0" applyNumberFormat="1" applyFont="1" applyBorder="1" applyAlignment="1" applyProtection="1">
      <alignment horizontal="center" vertical="center"/>
      <protection hidden="1"/>
    </xf>
    <xf numFmtId="171" fontId="6" fillId="0" borderId="157" xfId="0" applyNumberFormat="1" applyFont="1" applyBorder="1" applyAlignment="1" applyProtection="1">
      <alignment horizontal="center" vertical="center"/>
      <protection hidden="1"/>
    </xf>
    <xf numFmtId="171" fontId="6" fillId="0" borderId="158" xfId="0" applyNumberFormat="1" applyFont="1" applyBorder="1" applyAlignment="1" applyProtection="1">
      <alignment horizontal="center" vertical="center"/>
      <protection hidden="1"/>
    </xf>
    <xf numFmtId="171" fontId="13" fillId="0" borderId="158" xfId="0" applyNumberFormat="1" applyFont="1" applyBorder="1" applyAlignment="1" applyProtection="1">
      <alignment horizontal="center" vertical="center"/>
      <protection hidden="1"/>
    </xf>
    <xf numFmtId="171" fontId="6" fillId="0" borderId="156" xfId="0" applyNumberFormat="1" applyFont="1" applyBorder="1" applyAlignment="1" applyProtection="1">
      <alignment horizontal="center" vertical="center"/>
      <protection hidden="1"/>
    </xf>
    <xf numFmtId="171" fontId="13" fillId="0" borderId="159" xfId="0" applyNumberFormat="1" applyFont="1" applyBorder="1" applyAlignment="1" applyProtection="1">
      <alignment horizontal="center" vertical="center"/>
      <protection hidden="1"/>
    </xf>
    <xf numFmtId="171" fontId="25" fillId="0" borderId="151" xfId="0" applyNumberFormat="1" applyFont="1" applyBorder="1" applyAlignment="1" applyProtection="1">
      <alignment horizontal="right" vertical="center"/>
      <protection hidden="1"/>
    </xf>
    <xf numFmtId="171" fontId="25" fillId="0" borderId="152" xfId="0" applyNumberFormat="1" applyFont="1" applyBorder="1" applyAlignment="1" applyProtection="1">
      <alignment horizontal="right" vertical="center"/>
      <protection hidden="1"/>
    </xf>
    <xf numFmtId="0" fontId="5" fillId="0" borderId="26" xfId="0" applyFont="1" applyBorder="1" applyAlignment="1" applyProtection="1">
      <alignment horizontal="center" vertical="center"/>
      <protection hidden="1"/>
    </xf>
    <xf numFmtId="0" fontId="5" fillId="0" borderId="27" xfId="0" applyFont="1" applyBorder="1" applyAlignment="1" applyProtection="1">
      <alignment horizontal="center" vertical="center"/>
      <protection hidden="1"/>
    </xf>
    <xf numFmtId="0" fontId="5" fillId="0" borderId="160" xfId="0" applyFont="1" applyBorder="1" applyAlignment="1" applyProtection="1">
      <alignment horizontal="center" vertical="center"/>
      <protection hidden="1"/>
    </xf>
    <xf numFmtId="0" fontId="21" fillId="0" borderId="161" xfId="0" applyFont="1" applyBorder="1" applyAlignment="1" applyProtection="1">
      <alignment horizontal="center"/>
      <protection hidden="1"/>
    </xf>
    <xf numFmtId="0" fontId="6" fillId="0" borderId="144" xfId="0" applyFont="1" applyBorder="1" applyAlignment="1" applyProtection="1">
      <alignment horizontal="center"/>
      <protection hidden="1"/>
    </xf>
    <xf numFmtId="173" fontId="6" fillId="0" borderId="51" xfId="0" applyNumberFormat="1" applyFont="1" applyBorder="1" applyAlignment="1" applyProtection="1">
      <alignment horizontal="right"/>
      <protection hidden="1"/>
    </xf>
    <xf numFmtId="173" fontId="6" fillId="0" borderId="50" xfId="0" applyNumberFormat="1" applyFont="1" applyBorder="1" applyAlignment="1" applyProtection="1">
      <alignment horizontal="right"/>
      <protection hidden="1"/>
    </xf>
    <xf numFmtId="168" fontId="18" fillId="0" borderId="5" xfId="0" applyNumberFormat="1" applyFont="1" applyBorder="1" applyAlignment="1" applyProtection="1">
      <alignment horizontal="center" vertical="center"/>
      <protection hidden="1"/>
    </xf>
    <xf numFmtId="0" fontId="18" fillId="0" borderId="5" xfId="0" applyFont="1" applyBorder="1" applyAlignment="1" applyProtection="1">
      <alignment horizontal="right" vertical="center"/>
      <protection hidden="1"/>
    </xf>
    <xf numFmtId="168" fontId="6" fillId="0" borderId="1" xfId="0" applyNumberFormat="1" applyFont="1" applyBorder="1" applyAlignment="1" applyProtection="1">
      <alignment horizontal="center"/>
      <protection hidden="1"/>
    </xf>
    <xf numFmtId="168" fontId="6" fillId="0" borderId="3" xfId="0" applyNumberFormat="1" applyFont="1" applyBorder="1" applyAlignment="1" applyProtection="1">
      <alignment horizontal="center"/>
      <protection hidden="1"/>
    </xf>
    <xf numFmtId="168" fontId="6" fillId="0" borderId="2" xfId="0" applyNumberFormat="1" applyFont="1" applyBorder="1" applyAlignment="1" applyProtection="1">
      <alignment horizontal="center"/>
      <protection hidden="1"/>
    </xf>
    <xf numFmtId="173" fontId="6" fillId="0" borderId="62" xfId="0" applyNumberFormat="1" applyFont="1" applyBorder="1" applyAlignment="1" applyProtection="1">
      <alignment horizontal="right"/>
      <protection hidden="1"/>
    </xf>
    <xf numFmtId="173" fontId="6" fillId="0" borderId="63" xfId="0" applyNumberFormat="1" applyFont="1" applyBorder="1" applyAlignment="1" applyProtection="1">
      <alignment horizontal="right"/>
      <protection hidden="1"/>
    </xf>
    <xf numFmtId="173" fontId="6" fillId="0" borderId="47" xfId="0" applyNumberFormat="1" applyFont="1" applyBorder="1" applyAlignment="1" applyProtection="1">
      <alignment horizontal="right"/>
      <protection hidden="1"/>
    </xf>
    <xf numFmtId="173" fontId="6" fillId="0" borderId="46" xfId="0" applyNumberFormat="1" applyFont="1" applyBorder="1" applyAlignment="1" applyProtection="1">
      <alignment horizontal="right"/>
      <protection hidden="1"/>
    </xf>
    <xf numFmtId="0" fontId="6" fillId="0" borderId="20" xfId="0" applyFont="1" applyBorder="1" applyAlignment="1" applyProtection="1">
      <alignment horizontal="right"/>
      <protection hidden="1"/>
    </xf>
    <xf numFmtId="0" fontId="6" fillId="0" borderId="19" xfId="0" applyFont="1" applyBorder="1" applyAlignment="1" applyProtection="1">
      <alignment horizontal="right"/>
      <protection hidden="1"/>
    </xf>
    <xf numFmtId="0" fontId="6" fillId="0" borderId="28" xfId="0" applyFont="1" applyBorder="1" applyAlignment="1" applyProtection="1">
      <alignment horizontal="right"/>
      <protection hidden="1"/>
    </xf>
    <xf numFmtId="0" fontId="5" fillId="0" borderId="40" xfId="0" applyFont="1" applyBorder="1" applyAlignment="1" applyProtection="1">
      <alignment horizontal="center" vertical="center"/>
      <protection hidden="1"/>
    </xf>
    <xf numFmtId="0" fontId="5" fillId="0" borderId="24" xfId="0" applyFont="1" applyBorder="1" applyAlignment="1" applyProtection="1">
      <alignment horizontal="center" vertical="center"/>
      <protection hidden="1"/>
    </xf>
    <xf numFmtId="0" fontId="6" fillId="0" borderId="10" xfId="0" applyFont="1" applyBorder="1" applyAlignment="1" applyProtection="1">
      <alignment horizontal="right"/>
      <protection hidden="1"/>
    </xf>
    <xf numFmtId="0" fontId="6" fillId="0" borderId="21" xfId="0" applyFont="1" applyBorder="1" applyAlignment="1" applyProtection="1">
      <alignment horizontal="right"/>
      <protection hidden="1"/>
    </xf>
    <xf numFmtId="0" fontId="6" fillId="0" borderId="29" xfId="0" applyFont="1" applyBorder="1" applyAlignment="1" applyProtection="1">
      <alignment horizontal="right"/>
      <protection hidden="1"/>
    </xf>
    <xf numFmtId="169" fontId="6" fillId="2" borderId="1" xfId="0" applyNumberFormat="1" applyFont="1" applyFill="1" applyBorder="1" applyAlignment="1" applyProtection="1">
      <alignment horizontal="center" vertical="center"/>
      <protection locked="0"/>
    </xf>
    <xf numFmtId="169" fontId="6" fillId="2" borderId="3" xfId="0" applyNumberFormat="1" applyFont="1" applyFill="1" applyBorder="1" applyAlignment="1" applyProtection="1">
      <alignment horizontal="center" vertical="center"/>
      <protection locked="0"/>
    </xf>
    <xf numFmtId="0" fontId="5" fillId="0" borderId="64" xfId="0" applyFont="1" applyBorder="1" applyAlignment="1" applyProtection="1">
      <alignment horizontal="center" vertical="center"/>
      <protection hidden="1"/>
    </xf>
    <xf numFmtId="0" fontId="5" fillId="0" borderId="66" xfId="0" applyFont="1" applyBorder="1" applyAlignment="1" applyProtection="1">
      <alignment horizontal="center" vertical="center"/>
      <protection hidden="1"/>
    </xf>
    <xf numFmtId="0" fontId="6" fillId="0" borderId="2" xfId="0" applyFont="1" applyBorder="1" applyAlignment="1" applyProtection="1">
      <alignment horizontal="right" vertical="center"/>
      <protection hidden="1"/>
    </xf>
    <xf numFmtId="0" fontId="6" fillId="0" borderId="3" xfId="0" applyFont="1" applyBorder="1" applyAlignment="1" applyProtection="1">
      <alignment horizontal="right" vertical="center"/>
      <protection hidden="1"/>
    </xf>
    <xf numFmtId="0" fontId="6" fillId="0" borderId="117" xfId="0" applyFont="1" applyBorder="1" applyAlignment="1" applyProtection="1">
      <alignment horizontal="right" vertical="center"/>
      <protection hidden="1"/>
    </xf>
    <xf numFmtId="0" fontId="6" fillId="0" borderId="148" xfId="0" applyFont="1" applyBorder="1" applyAlignment="1" applyProtection="1">
      <alignment horizontal="right" vertical="center"/>
      <protection hidden="1"/>
    </xf>
    <xf numFmtId="0" fontId="6" fillId="0" borderId="118" xfId="0" applyFont="1" applyBorder="1" applyAlignment="1" applyProtection="1">
      <alignment horizontal="right" vertical="center"/>
      <protection hidden="1"/>
    </xf>
    <xf numFmtId="0" fontId="18" fillId="0" borderId="2" xfId="0" applyFont="1" applyBorder="1" applyAlignment="1" applyProtection="1">
      <alignment horizontal="right"/>
      <protection hidden="1"/>
    </xf>
    <xf numFmtId="0" fontId="18" fillId="0" borderId="3" xfId="0" applyFont="1" applyBorder="1" applyAlignment="1" applyProtection="1">
      <alignment horizontal="right"/>
      <protection hidden="1"/>
    </xf>
    <xf numFmtId="0" fontId="61" fillId="0" borderId="2" xfId="0" applyFont="1" applyBorder="1" applyAlignment="1" applyProtection="1">
      <alignment horizontal="right"/>
      <protection hidden="1"/>
    </xf>
    <xf numFmtId="168" fontId="6" fillId="2" borderId="1" xfId="0" applyNumberFormat="1" applyFont="1" applyFill="1" applyBorder="1" applyAlignment="1" applyProtection="1">
      <alignment horizontal="center" vertical="center"/>
      <protection locked="0"/>
    </xf>
    <xf numFmtId="168" fontId="6" fillId="2" borderId="3" xfId="0" applyNumberFormat="1" applyFont="1" applyFill="1" applyBorder="1" applyAlignment="1" applyProtection="1">
      <alignment horizontal="center" vertical="center"/>
      <protection locked="0"/>
    </xf>
    <xf numFmtId="21" fontId="6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27" fillId="0" borderId="91" xfId="0" applyFont="1" applyBorder="1" applyAlignment="1" applyProtection="1">
      <alignment horizontal="center" vertical="center"/>
      <protection hidden="1"/>
    </xf>
    <xf numFmtId="0" fontId="27" fillId="0" borderId="92" xfId="0" applyFont="1" applyBorder="1" applyAlignment="1" applyProtection="1">
      <alignment horizontal="center" vertical="center"/>
      <protection hidden="1"/>
    </xf>
    <xf numFmtId="0" fontId="27" fillId="0" borderId="93" xfId="0" applyFont="1" applyBorder="1" applyAlignment="1" applyProtection="1">
      <alignment horizontal="center" vertical="center"/>
      <protection hidden="1"/>
    </xf>
    <xf numFmtId="0" fontId="5" fillId="0" borderId="94" xfId="0" applyFont="1" applyBorder="1" applyAlignment="1" applyProtection="1">
      <alignment horizontal="right" vertical="center"/>
      <protection hidden="1"/>
    </xf>
    <xf numFmtId="0" fontId="5" fillId="0" borderId="95" xfId="0" applyFont="1" applyBorder="1" applyAlignment="1" applyProtection="1">
      <alignment horizontal="right" vertical="center"/>
      <protection hidden="1"/>
    </xf>
    <xf numFmtId="0" fontId="5" fillId="0" borderId="97" xfId="0" applyFont="1" applyBorder="1" applyAlignment="1" applyProtection="1">
      <alignment horizontal="right" vertical="center"/>
      <protection hidden="1"/>
    </xf>
    <xf numFmtId="0" fontId="5" fillId="0" borderId="0" xfId="0" applyFont="1" applyAlignment="1" applyProtection="1">
      <alignment horizontal="right" vertical="center"/>
      <protection hidden="1"/>
    </xf>
  </cellXfs>
  <cellStyles count="177">
    <cellStyle name="Besuchter Hyperlink" xfId="2" builtinId="9" hidden="1"/>
    <cellStyle name="Besuchter Hyperlink" xfId="4" builtinId="9" hidden="1"/>
    <cellStyle name="Besuchter Hyperlink" xfId="6" builtinId="9" hidden="1"/>
    <cellStyle name="Besuchter Hyperlink" xfId="8" builtinId="9" hidden="1"/>
    <cellStyle name="Besuchter Hyperlink" xfId="10" builtinId="9" hidden="1"/>
    <cellStyle name="Besuchter Hyperlink" xfId="12" builtinId="9" hidden="1"/>
    <cellStyle name="Besuchter Hyperlink" xfId="14" builtinId="9" hidden="1"/>
    <cellStyle name="Besuchter Hyperlink" xfId="16" builtinId="9" hidden="1"/>
    <cellStyle name="Besuchter Hyperlink" xfId="18" builtinId="9" hidden="1"/>
    <cellStyle name="Besuchter Hyperlink" xfId="20" builtinId="9" hidden="1"/>
    <cellStyle name="Besuchter Hyperlink" xfId="22" builtinId="9" hidden="1"/>
    <cellStyle name="Besuchter Hyperlink" xfId="24" builtinId="9" hidden="1"/>
    <cellStyle name="Besuchter Hyperlink" xfId="26" builtinId="9" hidden="1"/>
    <cellStyle name="Besuchter Hyperlink" xfId="28" builtinId="9" hidden="1"/>
    <cellStyle name="Besuchter Hyperlink" xfId="30" builtinId="9" hidden="1"/>
    <cellStyle name="Besuchter Hyperlink" xfId="32" builtinId="9" hidden="1"/>
    <cellStyle name="Besuchter Hyperlink" xfId="34" builtinId="9" hidden="1"/>
    <cellStyle name="Besuchter Hyperlink" xfId="36" builtinId="9" hidden="1"/>
    <cellStyle name="Besuchter Hyperlink" xfId="38" builtinId="9" hidden="1"/>
    <cellStyle name="Besuchter Hyperlink" xfId="40" builtinId="9" hidden="1"/>
    <cellStyle name="Besuchter Hyperlink" xfId="42" builtinId="9" hidden="1"/>
    <cellStyle name="Besuchter Hyperlink" xfId="44" builtinId="9" hidden="1"/>
    <cellStyle name="Besuchter Hyperlink" xfId="46" builtinId="9" hidden="1"/>
    <cellStyle name="Besuchter Hyperlink" xfId="48" builtinId="9" hidden="1"/>
    <cellStyle name="Besuchter Hyperlink" xfId="50" builtinId="9" hidden="1"/>
    <cellStyle name="Besuchter Hyperlink" xfId="52" builtinId="9" hidden="1"/>
    <cellStyle name="Besuchter Hyperlink" xfId="54" builtinId="9" hidden="1"/>
    <cellStyle name="Besuchter Hyperlink" xfId="56" builtinId="9" hidden="1"/>
    <cellStyle name="Besuchter Hyperlink" xfId="58" builtinId="9" hidden="1"/>
    <cellStyle name="Besuchter Hyperlink" xfId="60" builtinId="9" hidden="1"/>
    <cellStyle name="Besuchter Hyperlink" xfId="62" builtinId="9" hidden="1"/>
    <cellStyle name="Besuchter Hyperlink" xfId="64" builtinId="9" hidden="1"/>
    <cellStyle name="Besuchter Hyperlink" xfId="66" builtinId="9" hidden="1"/>
    <cellStyle name="Besuchter Hyperlink" xfId="68" builtinId="9" hidden="1"/>
    <cellStyle name="Besuchter Hyperlink" xfId="70" builtinId="9" hidden="1"/>
    <cellStyle name="Besuchter Hyperlink" xfId="72" builtinId="9" hidden="1"/>
    <cellStyle name="Besuchter Hyperlink" xfId="74" builtinId="9" hidden="1"/>
    <cellStyle name="Besuchter Hyperlink" xfId="76" builtinId="9" hidden="1"/>
    <cellStyle name="Besuchter Hyperlink" xfId="78" builtinId="9" hidden="1"/>
    <cellStyle name="Besuchter Hyperlink" xfId="80" builtinId="9" hidden="1"/>
    <cellStyle name="Besuchter Hyperlink" xfId="82" builtinId="9" hidden="1"/>
    <cellStyle name="Besuchter Hyperlink" xfId="84" builtinId="9" hidden="1"/>
    <cellStyle name="Besuchter Hyperlink" xfId="86" builtinId="9" hidden="1"/>
    <cellStyle name="Besuchter Hyperlink" xfId="88" builtinId="9" hidden="1"/>
    <cellStyle name="Besuchter Hyperlink" xfId="90" builtinId="9" hidden="1"/>
    <cellStyle name="Besuchter Hyperlink" xfId="92" builtinId="9" hidden="1"/>
    <cellStyle name="Besuchter Hyperlink" xfId="94" builtinId="9" hidden="1"/>
    <cellStyle name="Besuchter Hyperlink" xfId="96" builtinId="9" hidden="1"/>
    <cellStyle name="Besuchter Hyperlink" xfId="98" builtinId="9" hidden="1"/>
    <cellStyle name="Besuchter Hyperlink" xfId="100" builtinId="9" hidden="1"/>
    <cellStyle name="Besuchter Hyperlink" xfId="102" builtinId="9" hidden="1"/>
    <cellStyle name="Besuchter Hyperlink" xfId="104" builtinId="9" hidden="1"/>
    <cellStyle name="Besuchter Hyperlink" xfId="106" builtinId="9" hidden="1"/>
    <cellStyle name="Besuchter Hyperlink" xfId="108" builtinId="9" hidden="1"/>
    <cellStyle name="Besuchter Hyperlink" xfId="110" builtinId="9" hidden="1"/>
    <cellStyle name="Besuchter Hyperlink" xfId="112" builtinId="9" hidden="1"/>
    <cellStyle name="Besuchter Hyperlink" xfId="114" builtinId="9" hidden="1"/>
    <cellStyle name="Besuchter Hyperlink" xfId="116" builtinId="9" hidden="1"/>
    <cellStyle name="Besuchter Hyperlink" xfId="118" builtinId="9" hidden="1"/>
    <cellStyle name="Besuchter Hyperlink" xfId="120" builtinId="9" hidden="1"/>
    <cellStyle name="Besuchter Hyperlink" xfId="122" builtinId="9" hidden="1"/>
    <cellStyle name="Besuchter Hyperlink" xfId="124" builtinId="9" hidden="1"/>
    <cellStyle name="Besuchter Hyperlink" xfId="126" builtinId="9" hidden="1"/>
    <cellStyle name="Besuchter Hyperlink" xfId="128" builtinId="9" hidden="1"/>
    <cellStyle name="Besuchter Hyperlink" xfId="130" builtinId="9" hidden="1"/>
    <cellStyle name="Besuchter Hyperlink" xfId="132" builtinId="9" hidden="1"/>
    <cellStyle name="Besuchter Hyperlink" xfId="134" builtinId="9" hidden="1"/>
    <cellStyle name="Besuchter Hyperlink" xfId="136" builtinId="9" hidden="1"/>
    <cellStyle name="Besuchter Hyperlink" xfId="138" builtinId="9" hidden="1"/>
    <cellStyle name="Besuchter Hyperlink" xfId="140" builtinId="9" hidden="1"/>
    <cellStyle name="Besuchter Hyperlink" xfId="142" builtinId="9" hidden="1"/>
    <cellStyle name="Besuchter Hyperlink" xfId="144" builtinId="9" hidden="1"/>
    <cellStyle name="Besuchter Hyperlink" xfId="146" builtinId="9" hidden="1"/>
    <cellStyle name="Besuchter Hyperlink" xfId="148" builtinId="9" hidden="1"/>
    <cellStyle name="Besuchter Hyperlink" xfId="150" builtinId="9" hidden="1"/>
    <cellStyle name="Besuchter Hyperlink" xfId="152" builtinId="9" hidden="1"/>
    <cellStyle name="Besuchter Hyperlink" xfId="154" builtinId="9" hidden="1"/>
    <cellStyle name="Besuchter Hyperlink" xfId="156" builtinId="9" hidden="1"/>
    <cellStyle name="Besuchter Hyperlink" xfId="158" builtinId="9" hidden="1"/>
    <cellStyle name="Besuchter Hyperlink" xfId="160" builtinId="9" hidden="1"/>
    <cellStyle name="Besuchter Hyperlink" xfId="162" builtinId="9" hidden="1"/>
    <cellStyle name="Besuchter Hyperlink" xfId="164" builtinId="9" hidden="1"/>
    <cellStyle name="Besuchter Hyperlink" xfId="166" builtinId="9" hidden="1"/>
    <cellStyle name="Besuchter Hyperlink" xfId="168" builtinId="9" hidden="1"/>
    <cellStyle name="Besuchter Hyperlink" xfId="170" builtinId="9" hidden="1"/>
    <cellStyle name="Besuchter Hyperlink" xfId="172" builtinId="9" hidden="1"/>
    <cellStyle name="Besuchter Hyperlink" xfId="174" builtinId="9" hidden="1"/>
    <cellStyle name="Besuchter Hyperlink" xfId="176" builtinId="9" hidden="1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Link" xfId="17" builtinId="8" hidden="1"/>
    <cellStyle name="Link" xfId="19" builtinId="8" hidden="1"/>
    <cellStyle name="Link" xfId="21" builtinId="8" hidden="1"/>
    <cellStyle name="Link" xfId="23" builtinId="8" hidden="1"/>
    <cellStyle name="Link" xfId="25" builtinId="8" hidden="1"/>
    <cellStyle name="Link" xfId="27" builtinId="8" hidden="1"/>
    <cellStyle name="Link" xfId="29" builtinId="8" hidden="1"/>
    <cellStyle name="Link" xfId="31" builtinId="8" hidden="1"/>
    <cellStyle name="Link" xfId="33" builtinId="8" hidden="1"/>
    <cellStyle name="Link" xfId="35" builtinId="8" hidden="1"/>
    <cellStyle name="Link" xfId="37" builtinId="8" hidden="1"/>
    <cellStyle name="Link" xfId="39" builtinId="8" hidden="1"/>
    <cellStyle name="Link" xfId="41" builtinId="8" hidden="1"/>
    <cellStyle name="Link" xfId="43" builtinId="8" hidden="1"/>
    <cellStyle name="Link" xfId="45" builtinId="8" hidden="1"/>
    <cellStyle name="Link" xfId="47" builtinId="8" hidden="1"/>
    <cellStyle name="Link" xfId="49" builtinId="8" hidden="1"/>
    <cellStyle name="Link" xfId="51" builtinId="8" hidden="1"/>
    <cellStyle name="Link" xfId="53" builtinId="8" hidden="1"/>
    <cellStyle name="Link" xfId="55" builtinId="8" hidden="1"/>
    <cellStyle name="Link" xfId="57" builtinId="8" hidden="1"/>
    <cellStyle name="Link" xfId="59" builtinId="8" hidden="1"/>
    <cellStyle name="Link" xfId="61" builtinId="8" hidden="1"/>
    <cellStyle name="Link" xfId="63" builtinId="8" hidden="1"/>
    <cellStyle name="Link" xfId="65" builtinId="8" hidden="1"/>
    <cellStyle name="Link" xfId="67" builtinId="8" hidden="1"/>
    <cellStyle name="Link" xfId="69" builtinId="8" hidden="1"/>
    <cellStyle name="Link" xfId="71" builtinId="8" hidden="1"/>
    <cellStyle name="Link" xfId="73" builtinId="8" hidden="1"/>
    <cellStyle name="Link" xfId="75" builtinId="8" hidden="1"/>
    <cellStyle name="Link" xfId="77" builtinId="8" hidden="1"/>
    <cellStyle name="Link" xfId="79" builtinId="8" hidden="1"/>
    <cellStyle name="Link" xfId="81" builtinId="8" hidden="1"/>
    <cellStyle name="Link" xfId="83" builtinId="8" hidden="1"/>
    <cellStyle name="Link" xfId="85" builtinId="8" hidden="1"/>
    <cellStyle name="Link" xfId="87" builtinId="8" hidden="1"/>
    <cellStyle name="Link" xfId="89" builtinId="8" hidden="1"/>
    <cellStyle name="Link" xfId="91" builtinId="8" hidden="1"/>
    <cellStyle name="Link" xfId="93" builtinId="8" hidden="1"/>
    <cellStyle name="Link" xfId="95" builtinId="8" hidden="1"/>
    <cellStyle name="Link" xfId="97" builtinId="8" hidden="1"/>
    <cellStyle name="Link" xfId="99" builtinId="8" hidden="1"/>
    <cellStyle name="Link" xfId="101" builtinId="8" hidden="1"/>
    <cellStyle name="Link" xfId="103" builtinId="8" hidden="1"/>
    <cellStyle name="Link" xfId="105" builtinId="8" hidden="1"/>
    <cellStyle name="Link" xfId="107" builtinId="8" hidden="1"/>
    <cellStyle name="Link" xfId="109" builtinId="8" hidden="1"/>
    <cellStyle name="Link" xfId="111" builtinId="8" hidden="1"/>
    <cellStyle name="Link" xfId="113" builtinId="8" hidden="1"/>
    <cellStyle name="Link" xfId="115" builtinId="8" hidden="1"/>
    <cellStyle name="Link" xfId="117" builtinId="8" hidden="1"/>
    <cellStyle name="Link" xfId="119" builtinId="8" hidden="1"/>
    <cellStyle name="Link" xfId="121" builtinId="8" hidden="1"/>
    <cellStyle name="Link" xfId="123" builtinId="8" hidden="1"/>
    <cellStyle name="Link" xfId="125" builtinId="8" hidden="1"/>
    <cellStyle name="Link" xfId="127" builtinId="8" hidden="1"/>
    <cellStyle name="Link" xfId="129" builtinId="8" hidden="1"/>
    <cellStyle name="Link" xfId="131" builtinId="8" hidden="1"/>
    <cellStyle name="Link" xfId="133" builtinId="8" hidden="1"/>
    <cellStyle name="Link" xfId="135" builtinId="8" hidden="1"/>
    <cellStyle name="Link" xfId="137" builtinId="8" hidden="1"/>
    <cellStyle name="Link" xfId="139" builtinId="8" hidden="1"/>
    <cellStyle name="Link" xfId="141" builtinId="8" hidden="1"/>
    <cellStyle name="Link" xfId="143" builtinId="8" hidden="1"/>
    <cellStyle name="Link" xfId="145" builtinId="8" hidden="1"/>
    <cellStyle name="Link" xfId="147" builtinId="8" hidden="1"/>
    <cellStyle name="Link" xfId="149" builtinId="8" hidden="1"/>
    <cellStyle name="Link" xfId="151" builtinId="8" hidden="1"/>
    <cellStyle name="Link" xfId="153" builtinId="8" hidden="1"/>
    <cellStyle name="Link" xfId="155" builtinId="8" hidden="1"/>
    <cellStyle name="Link" xfId="157" builtinId="8" hidden="1"/>
    <cellStyle name="Link" xfId="159" builtinId="8" hidden="1"/>
    <cellStyle name="Link" xfId="161" builtinId="8" hidden="1"/>
    <cellStyle name="Link" xfId="163" builtinId="8" hidden="1"/>
    <cellStyle name="Link" xfId="165" builtinId="8" hidden="1"/>
    <cellStyle name="Link" xfId="167" builtinId="8" hidden="1"/>
    <cellStyle name="Link" xfId="169" builtinId="8" hidden="1"/>
    <cellStyle name="Link" xfId="171" builtinId="8" hidden="1"/>
    <cellStyle name="Link" xfId="173" builtinId="8" hidden="1"/>
    <cellStyle name="Link" xfId="175" builtinId="8" hidden="1"/>
    <cellStyle name="Standard" xfId="0" builtinId="0"/>
  </cellStyles>
  <dxfs count="0"/>
  <tableStyles count="0" defaultTableStyle="TableStyleMedium9" defaultPivotStyle="PivotStyleMedium7"/>
  <colors>
    <mruColors>
      <color rgb="FFFFF803"/>
      <color rgb="FFFF9000"/>
      <color rgb="FFC05C16"/>
      <color rgb="FFFDFAD6"/>
      <color rgb="FFFAFDE0"/>
      <color rgb="FFFFA1A3"/>
      <color rgb="FFFF65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560715686900663E-2"/>
          <c:y val="3.3710882293559459E-2"/>
          <c:w val="0.90708789897766273"/>
          <c:h val="0.94818499193624894"/>
        </c:manualLayout>
      </c:layout>
      <c:scatterChart>
        <c:scatterStyle val="smoothMarker"/>
        <c:varyColors val="0"/>
        <c:ser>
          <c:idx val="0"/>
          <c:order val="0"/>
          <c:spPr>
            <a:ln w="25400" cap="rnd" cmpd="sng">
              <a:solidFill>
                <a:schemeClr val="accent6">
                  <a:lumMod val="40000"/>
                  <a:lumOff val="6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'globale Grafik'!$U$8:$U$193</c:f>
              <c:numCache>
                <c:formatCode>0.00</c:formatCode>
                <c:ptCount val="186"/>
                <c:pt idx="0">
                  <c:v>57.044982267149123</c:v>
                </c:pt>
                <c:pt idx="1">
                  <c:v>57.044982267149123</c:v>
                </c:pt>
                <c:pt idx="2">
                  <c:v>62.367596508580675</c:v>
                </c:pt>
                <c:pt idx="3">
                  <c:v>65.282188805207795</c:v>
                </c:pt>
                <c:pt idx="4">
                  <c:v>67.429628299604133</c:v>
                </c:pt>
                <c:pt idx="5">
                  <c:v>69.189319163512607</c:v>
                </c:pt>
                <c:pt idx="6">
                  <c:v>70.701594743710302</c:v>
                </c:pt>
                <c:pt idx="7">
                  <c:v>72.037269096886746</c:v>
                </c:pt>
                <c:pt idx="8">
                  <c:v>73.238149342624183</c:v>
                </c:pt>
                <c:pt idx="9">
                  <c:v>74.331435834554554</c:v>
                </c:pt>
                <c:pt idx="10">
                  <c:v>75.336044553821239</c:v>
                </c:pt>
                <c:pt idx="11">
                  <c:v>76.265786601066679</c:v>
                </c:pt>
                <c:pt idx="12">
                  <c:v>77.131128018671575</c:v>
                </c:pt>
                <c:pt idx="13">
                  <c:v>77.940236304631981</c:v>
                </c:pt>
                <c:pt idx="14">
                  <c:v>78.699638541095908</c:v>
                </c:pt>
                <c:pt idx="15">
                  <c:v>79.414654288575036</c:v>
                </c:pt>
                <c:pt idx="16">
                  <c:v>80.089691035391695</c:v>
                </c:pt>
                <c:pt idx="17">
                  <c:v>80.728452169938009</c:v>
                </c:pt>
                <c:pt idx="18">
                  <c:v>81.334087272667034</c:v>
                </c:pt>
                <c:pt idx="19">
                  <c:v>81.909303209351606</c:v>
                </c:pt>
                <c:pt idx="20">
                  <c:v>82.456447881469387</c:v>
                </c:pt>
                <c:pt idx="21">
                  <c:v>82.977574464455415</c:v>
                </c:pt>
                <c:pt idx="22">
                  <c:v>83.474491439828171</c:v>
                </c:pt>
                <c:pt idx="23">
                  <c:v>83.948802098494355</c:v>
                </c:pt>
                <c:pt idx="24">
                  <c:v>84.401936115440378</c:v>
                </c:pt>
                <c:pt idx="25">
                  <c:v>84.83517506776775</c:v>
                </c:pt>
                <c:pt idx="26">
                  <c:v>85.249673265750573</c:v>
                </c:pt>
                <c:pt idx="27">
                  <c:v>85.646474913905934</c:v>
                </c:pt>
                <c:pt idx="28">
                  <c:v>86.026528367352284</c:v>
                </c:pt>
                <c:pt idx="29">
                  <c:v>86.390698066394862</c:v>
                </c:pt>
                <c:pt idx="30">
                  <c:v>86.739774598393012</c:v>
                </c:pt>
                <c:pt idx="31">
                  <c:v>87.07448323641853</c:v>
                </c:pt>
                <c:pt idx="32">
                  <c:v>87.395491229349432</c:v>
                </c:pt>
                <c:pt idx="33">
                  <c:v>87.703414061126693</c:v>
                </c:pt>
                <c:pt idx="34">
                  <c:v>87.998820853214397</c:v>
                </c:pt>
                <c:pt idx="35">
                  <c:v>88.282239050445412</c:v>
                </c:pt>
                <c:pt idx="36">
                  <c:v>88.554158503980943</c:v>
                </c:pt>
                <c:pt idx="37">
                  <c:v>88.815035044270985</c:v>
                </c:pt>
                <c:pt idx="38">
                  <c:v>89.065293620356101</c:v>
                </c:pt>
                <c:pt idx="39">
                  <c:v>89.305331068630437</c:v>
                </c:pt>
                <c:pt idx="40">
                  <c:v>89.535518563542155</c:v>
                </c:pt>
                <c:pt idx="41">
                  <c:v>89.756203794090936</c:v>
                </c:pt>
                <c:pt idx="42">
                  <c:v>89.967712902962774</c:v>
                </c:pt>
                <c:pt idx="43">
                  <c:v>90.170352219392839</c:v>
                </c:pt>
                <c:pt idx="44">
                  <c:v>90.364409812109955</c:v>
                </c:pt>
                <c:pt idx="45">
                  <c:v>90.550156884800742</c:v>
                </c:pt>
                <c:pt idx="46">
                  <c:v>90.72784903326874</c:v>
                </c:pt>
                <c:pt idx="47">
                  <c:v>90.897727380742026</c:v>
                </c:pt>
                <c:pt idx="48">
                  <c:v>91.060019605498894</c:v>
                </c:pt>
                <c:pt idx="49">
                  <c:v>91.214940873054729</c:v>
                </c:pt>
                <c:pt idx="50">
                  <c:v>91.362694683525831</c:v>
                </c:pt>
                <c:pt idx="51">
                  <c:v>91.503473643402913</c:v>
                </c:pt>
                <c:pt idx="52">
                  <c:v>91.637460169788994</c:v>
                </c:pt>
                <c:pt idx="53">
                  <c:v>91.764827134147993</c:v>
                </c:pt>
                <c:pt idx="54">
                  <c:v>91.885738451747159</c:v>
                </c:pt>
                <c:pt idx="55">
                  <c:v>92.000349622232136</c:v>
                </c:pt>
                <c:pt idx="56">
                  <c:v>92.108808226129497</c:v>
                </c:pt>
                <c:pt idx="57">
                  <c:v>92.211254381518188</c:v>
                </c:pt>
                <c:pt idx="58">
                  <c:v>92.307821164625011</c:v>
                </c:pt>
                <c:pt idx="59">
                  <c:v>92.398634997681654</c:v>
                </c:pt>
                <c:pt idx="60">
                  <c:v>92.483816007011058</c:v>
                </c:pt>
                <c:pt idx="61">
                  <c:v>92.563478353991229</c:v>
                </c:pt>
                <c:pt idx="62">
                  <c:v>92.637730541260737</c:v>
                </c:pt>
                <c:pt idx="63">
                  <c:v>92.70667569628398</c:v>
                </c:pt>
                <c:pt idx="64">
                  <c:v>92.770411834173217</c:v>
                </c:pt>
                <c:pt idx="65">
                  <c:v>92.829032101473274</c:v>
                </c:pt>
                <c:pt idx="66">
                  <c:v>92.882625002441046</c:v>
                </c:pt>
                <c:pt idx="67">
                  <c:v>92.931274609201864</c:v>
                </c:pt>
                <c:pt idx="68">
                  <c:v>92.9750607570287</c:v>
                </c:pt>
                <c:pt idx="69">
                  <c:v>93.014059225868493</c:v>
                </c:pt>
                <c:pt idx="70">
                  <c:v>93.048341909134763</c:v>
                </c:pt>
                <c:pt idx="71">
                  <c:v>93.077976970685484</c:v>
                </c:pt>
                <c:pt idx="72">
                  <c:v>93.103028990821656</c:v>
                </c:pt>
                <c:pt idx="73">
                  <c:v>93.123559102063098</c:v>
                </c:pt>
                <c:pt idx="74">
                  <c:v>93.13962511538665</c:v>
                </c:pt>
                <c:pt idx="75">
                  <c:v>93.151281637550085</c:v>
                </c:pt>
                <c:pt idx="76">
                  <c:v>93.158580180067247</c:v>
                </c:pt>
                <c:pt idx="77">
                  <c:v>93.16156926034688</c:v>
                </c:pt>
                <c:pt idx="78">
                  <c:v>93.160294495461812</c:v>
                </c:pt>
                <c:pt idx="79">
                  <c:v>93.154798688969947</c:v>
                </c:pt>
                <c:pt idx="80">
                  <c:v>93.145121911171032</c:v>
                </c:pt>
                <c:pt idx="81">
                  <c:v>93.131301573145493</c:v>
                </c:pt>
                <c:pt idx="82">
                  <c:v>93.11337249488821</c:v>
                </c:pt>
                <c:pt idx="83">
                  <c:v>93.091366967820477</c:v>
                </c:pt>
                <c:pt idx="84">
                  <c:v>93.065314811933661</c:v>
                </c:pt>
                <c:pt idx="85">
                  <c:v>93.035243427791102</c:v>
                </c:pt>
                <c:pt idx="86">
                  <c:v>93.001177843592984</c:v>
                </c:pt>
                <c:pt idx="87">
                  <c:v>92.963140757479891</c:v>
                </c:pt>
                <c:pt idx="88">
                  <c:v>92.921152575235624</c:v>
                </c:pt>
                <c:pt idx="89">
                  <c:v>92.875231443523091</c:v>
                </c:pt>
                <c:pt idx="90">
                  <c:v>92.82539327877106</c:v>
                </c:pt>
                <c:pt idx="91">
                  <c:v>92.771651791807926</c:v>
                </c:pt>
                <c:pt idx="92">
                  <c:v>92.714018508322226</c:v>
                </c:pt>
                <c:pt idx="93">
                  <c:v>92.652502785210004</c:v>
                </c:pt>
                <c:pt idx="94">
                  <c:v>92.587111822851909</c:v>
                </c:pt>
                <c:pt idx="95">
                  <c:v>92.517850673346913</c:v>
                </c:pt>
                <c:pt idx="96">
                  <c:v>92.44472224470951</c:v>
                </c:pt>
                <c:pt idx="97">
                  <c:v>92.367727301021716</c:v>
                </c:pt>
                <c:pt idx="98">
                  <c:v>92.28686445851497</c:v>
                </c:pt>
                <c:pt idx="99">
                  <c:v>92.202130177533661</c:v>
                </c:pt>
                <c:pt idx="100">
                  <c:v>92.113518750321475</c:v>
                </c:pt>
                <c:pt idx="101">
                  <c:v>92.021022284545268</c:v>
                </c:pt>
                <c:pt idx="102">
                  <c:v>91.924630682456041</c:v>
                </c:pt>
                <c:pt idx="103">
                  <c:v>91.824331615564745</c:v>
                </c:pt>
                <c:pt idx="104">
                  <c:v>91.72011049468648</c:v>
                </c:pt>
                <c:pt idx="105">
                  <c:v>91.611950435187282</c:v>
                </c:pt>
                <c:pt idx="106">
                  <c:v>91.499832217238634</c:v>
                </c:pt>
                <c:pt idx="107">
                  <c:v>91.383734240861884</c:v>
                </c:pt>
                <c:pt idx="108">
                  <c:v>91.263632475512509</c:v>
                </c:pt>
                <c:pt idx="109">
                  <c:v>91.139500403925524</c:v>
                </c:pt>
                <c:pt idx="110">
                  <c:v>91.011308959908717</c:v>
                </c:pt>
                <c:pt idx="111">
                  <c:v>90.87902645973162</c:v>
                </c:pt>
                <c:pt idx="112">
                  <c:v>90.742618526720378</c:v>
                </c:pt>
                <c:pt idx="113">
                  <c:v>90.602048008621523</c:v>
                </c:pt>
                <c:pt idx="114">
                  <c:v>90.457274887249355</c:v>
                </c:pt>
                <c:pt idx="115">
                  <c:v>90.308256179877844</c:v>
                </c:pt>
                <c:pt idx="116">
                  <c:v>90.154945831775251</c:v>
                </c:pt>
                <c:pt idx="117">
                  <c:v>89.997294599215365</c:v>
                </c:pt>
                <c:pt idx="118">
                  <c:v>89.835249922221124</c:v>
                </c:pt>
                <c:pt idx="119">
                  <c:v>89.668755786214888</c:v>
                </c:pt>
                <c:pt idx="120">
                  <c:v>89.497752571654303</c:v>
                </c:pt>
                <c:pt idx="121">
                  <c:v>89.322176890626963</c:v>
                </c:pt>
                <c:pt idx="122">
                  <c:v>89.14196140925884</c:v>
                </c:pt>
                <c:pt idx="123">
                  <c:v>88.957034654655956</c:v>
                </c:pt>
                <c:pt idx="124">
                  <c:v>88.767320804947701</c:v>
                </c:pt>
                <c:pt idx="125">
                  <c:v>88.572739460825971</c:v>
                </c:pt>
                <c:pt idx="126">
                  <c:v>88.373205396780179</c:v>
                </c:pt>
                <c:pt idx="127">
                  <c:v>88.168628290002005</c:v>
                </c:pt>
                <c:pt idx="128">
                  <c:v>87.95891242467934</c:v>
                </c:pt>
                <c:pt idx="129">
                  <c:v>87.743956369104467</c:v>
                </c:pt>
                <c:pt idx="130">
                  <c:v>87.523652622684608</c:v>
                </c:pt>
                <c:pt idx="131">
                  <c:v>87.297887229554647</c:v>
                </c:pt>
                <c:pt idx="132">
                  <c:v>87.066539355041641</c:v>
                </c:pt>
                <c:pt idx="133">
                  <c:v>86.82948082071033</c:v>
                </c:pt>
                <c:pt idx="134">
                  <c:v>86.586575593112968</c:v>
                </c:pt>
                <c:pt idx="135">
                  <c:v>86.337679220660334</c:v>
                </c:pt>
                <c:pt idx="136">
                  <c:v>86.082638212202596</c:v>
                </c:pt>
                <c:pt idx="137">
                  <c:v>85.821289349937615</c:v>
                </c:pt>
                <c:pt idx="138">
                  <c:v>85.553458928120278</c:v>
                </c:pt>
                <c:pt idx="139">
                  <c:v>85.278961907686494</c:v>
                </c:pt>
                <c:pt idx="140">
                  <c:v>84.997600975301793</c:v>
                </c:pt>
                <c:pt idx="141">
                  <c:v>84.709165493418709</c:v>
                </c:pt>
                <c:pt idx="142">
                  <c:v>84.413430325627814</c:v>
                </c:pt>
                <c:pt idx="143">
                  <c:v>84.110154518821048</c:v>
                </c:pt>
                <c:pt idx="144">
                  <c:v>83.799079820333986</c:v>
                </c:pt>
                <c:pt idx="145">
                  <c:v>83.479929004168127</c:v>
                </c:pt>
                <c:pt idx="146">
                  <c:v>83.152403975425216</c:v>
                </c:pt>
                <c:pt idx="147">
                  <c:v>82.816183615977366</c:v>
                </c:pt>
                <c:pt idx="148">
                  <c:v>82.470921326857024</c:v>
                </c:pt>
                <c:pt idx="149">
                  <c:v>82.116242213468581</c:v>
                </c:pt>
                <c:pt idx="150">
                  <c:v>81.751739847985448</c:v>
                </c:pt>
                <c:pt idx="151">
                  <c:v>81.376972528499948</c:v>
                </c:pt>
                <c:pt idx="152">
                  <c:v>80.99145893570568</c:v>
                </c:pt>
                <c:pt idx="153">
                  <c:v>80.594673063841753</c:v>
                </c:pt>
                <c:pt idx="154">
                  <c:v>80.186038271586824</c:v>
                </c:pt>
                <c:pt idx="155">
                  <c:v>79.764920258145366</c:v>
                </c:pt>
                <c:pt idx="156">
                  <c:v>79.330618716566619</c:v>
                </c:pt>
                <c:pt idx="157">
                  <c:v>78.882357345602998</c:v>
                </c:pt>
                <c:pt idx="158">
                  <c:v>78.419271806293466</c:v>
                </c:pt>
                <c:pt idx="159">
                  <c:v>77.940395079958819</c:v>
                </c:pt>
                <c:pt idx="160">
                  <c:v>77.444639505597763</c:v>
                </c:pt>
                <c:pt idx="161">
                  <c:v>76.930774524446406</c:v>
                </c:pt>
                <c:pt idx="162">
                  <c:v>76.397398803393571</c:v>
                </c:pt>
                <c:pt idx="163">
                  <c:v>75.842904893186187</c:v>
                </c:pt>
                <c:pt idx="164">
                  <c:v>75.26543381550249</c:v>
                </c:pt>
                <c:pt idx="165">
                  <c:v>74.662815822704431</c:v>
                </c:pt>
                <c:pt idx="166">
                  <c:v>74.032491794310715</c:v>
                </c:pt>
                <c:pt idx="167">
                  <c:v>73.37140690321803</c:v>
                </c:pt>
                <c:pt idx="168">
                  <c:v>72.675863537403586</c:v>
                </c:pt>
                <c:pt idx="169">
                  <c:v>71.941312552759427</c:v>
                </c:pt>
                <c:pt idx="170">
                  <c:v>71.162047890138581</c:v>
                </c:pt>
                <c:pt idx="171">
                  <c:v>70.33074339216796</c:v>
                </c:pt>
                <c:pt idx="172">
                  <c:v>69.43771878812862</c:v>
                </c:pt>
                <c:pt idx="173">
                  <c:v>68.469711380864624</c:v>
                </c:pt>
                <c:pt idx="174">
                  <c:v>67.407672353131318</c:v>
                </c:pt>
                <c:pt idx="175">
                  <c:v>66.222429802236718</c:v>
                </c:pt>
                <c:pt idx="176">
                  <c:v>64.864967860658339</c:v>
                </c:pt>
                <c:pt idx="177">
                  <c:v>63.239822837817769</c:v>
                </c:pt>
                <c:pt idx="178">
                  <c:v>61.10030305172711</c:v>
                </c:pt>
                <c:pt idx="179">
                  <c:v>56.770207314119489</c:v>
                </c:pt>
                <c:pt idx="180">
                  <c:v>56.770207314119489</c:v>
                </c:pt>
                <c:pt idx="181">
                  <c:v>56.770207314119489</c:v>
                </c:pt>
                <c:pt idx="182">
                  <c:v>56.770207314119489</c:v>
                </c:pt>
                <c:pt idx="183">
                  <c:v>56.770207314119489</c:v>
                </c:pt>
                <c:pt idx="184">
                  <c:v>56.770207314119489</c:v>
                </c:pt>
                <c:pt idx="185">
                  <c:v>56.770207314119489</c:v>
                </c:pt>
              </c:numCache>
            </c:numRef>
          </c:xVal>
          <c:yVal>
            <c:numRef>
              <c:f>'globale Grafik'!$M$8:$M$193</c:f>
              <c:numCache>
                <c:formatCode>0.00\°;[Red]0.00\°</c:formatCode>
                <c:ptCount val="186"/>
                <c:pt idx="0">
                  <c:v>56.214284919562225</c:v>
                </c:pt>
                <c:pt idx="1">
                  <c:v>56.214284919562225</c:v>
                </c:pt>
                <c:pt idx="2">
                  <c:v>55.88780241142296</c:v>
                </c:pt>
                <c:pt idx="3">
                  <c:v>55.504510882555373</c:v>
                </c:pt>
                <c:pt idx="4">
                  <c:v>55.121219353687785</c:v>
                </c:pt>
                <c:pt idx="5">
                  <c:v>54.737927824820197</c:v>
                </c:pt>
                <c:pt idx="6">
                  <c:v>54.354636295952609</c:v>
                </c:pt>
                <c:pt idx="7">
                  <c:v>53.971344767085021</c:v>
                </c:pt>
                <c:pt idx="8">
                  <c:v>53.588053238217434</c:v>
                </c:pt>
                <c:pt idx="9">
                  <c:v>53.204761709349846</c:v>
                </c:pt>
                <c:pt idx="10">
                  <c:v>52.821470180482258</c:v>
                </c:pt>
                <c:pt idx="11">
                  <c:v>52.43817865161467</c:v>
                </c:pt>
                <c:pt idx="12">
                  <c:v>52.054887122747083</c:v>
                </c:pt>
                <c:pt idx="13">
                  <c:v>51.671595593879495</c:v>
                </c:pt>
                <c:pt idx="14">
                  <c:v>51.288304065011907</c:v>
                </c:pt>
                <c:pt idx="15">
                  <c:v>50.905012536144319</c:v>
                </c:pt>
                <c:pt idx="16">
                  <c:v>50.521721007276732</c:v>
                </c:pt>
                <c:pt idx="17">
                  <c:v>50.138429478409144</c:v>
                </c:pt>
                <c:pt idx="18">
                  <c:v>49.755137949541556</c:v>
                </c:pt>
                <c:pt idx="19">
                  <c:v>49.371846420673968</c:v>
                </c:pt>
                <c:pt idx="20">
                  <c:v>48.98855489180638</c:v>
                </c:pt>
                <c:pt idx="21">
                  <c:v>48.605263362938793</c:v>
                </c:pt>
                <c:pt idx="22">
                  <c:v>48.221971834071205</c:v>
                </c:pt>
                <c:pt idx="23">
                  <c:v>47.838680305203617</c:v>
                </c:pt>
                <c:pt idx="24">
                  <c:v>47.455388776336029</c:v>
                </c:pt>
                <c:pt idx="25">
                  <c:v>47.072097247468442</c:v>
                </c:pt>
                <c:pt idx="26">
                  <c:v>46.688805718600854</c:v>
                </c:pt>
                <c:pt idx="27">
                  <c:v>46.305514189733266</c:v>
                </c:pt>
                <c:pt idx="28">
                  <c:v>45.922222660865678</c:v>
                </c:pt>
                <c:pt idx="29">
                  <c:v>45.538931131998091</c:v>
                </c:pt>
                <c:pt idx="30">
                  <c:v>45.155639603130503</c:v>
                </c:pt>
                <c:pt idx="31">
                  <c:v>44.772348074262915</c:v>
                </c:pt>
                <c:pt idx="32">
                  <c:v>44.389056545395327</c:v>
                </c:pt>
                <c:pt idx="33">
                  <c:v>44.005765016527739</c:v>
                </c:pt>
                <c:pt idx="34">
                  <c:v>43.622473487660152</c:v>
                </c:pt>
                <c:pt idx="35">
                  <c:v>43.239181958792564</c:v>
                </c:pt>
                <c:pt idx="36">
                  <c:v>42.855890429924976</c:v>
                </c:pt>
                <c:pt idx="37">
                  <c:v>42.472598901057388</c:v>
                </c:pt>
                <c:pt idx="38">
                  <c:v>42.089307372189801</c:v>
                </c:pt>
                <c:pt idx="39">
                  <c:v>41.706015843322213</c:v>
                </c:pt>
                <c:pt idx="40">
                  <c:v>41.322724314454625</c:v>
                </c:pt>
                <c:pt idx="41">
                  <c:v>40.939432785587037</c:v>
                </c:pt>
                <c:pt idx="42">
                  <c:v>40.556141256719449</c:v>
                </c:pt>
                <c:pt idx="43">
                  <c:v>40.172849727851862</c:v>
                </c:pt>
                <c:pt idx="44">
                  <c:v>39.789558198984274</c:v>
                </c:pt>
                <c:pt idx="45">
                  <c:v>39.406266670116686</c:v>
                </c:pt>
                <c:pt idx="46">
                  <c:v>39.022975141249098</c:v>
                </c:pt>
                <c:pt idx="47">
                  <c:v>38.639683612381511</c:v>
                </c:pt>
                <c:pt idx="48">
                  <c:v>38.256392083513923</c:v>
                </c:pt>
                <c:pt idx="49">
                  <c:v>37.873100554646335</c:v>
                </c:pt>
                <c:pt idx="50">
                  <c:v>37.489809025778747</c:v>
                </c:pt>
                <c:pt idx="51">
                  <c:v>37.10651749691116</c:v>
                </c:pt>
                <c:pt idx="52">
                  <c:v>36.723225968043572</c:v>
                </c:pt>
                <c:pt idx="53">
                  <c:v>36.339934439175984</c:v>
                </c:pt>
                <c:pt idx="54">
                  <c:v>35.956642910308396</c:v>
                </c:pt>
                <c:pt idx="55">
                  <c:v>35.573351381440808</c:v>
                </c:pt>
                <c:pt idx="56">
                  <c:v>35.190059852573221</c:v>
                </c:pt>
                <c:pt idx="57">
                  <c:v>34.806768323705633</c:v>
                </c:pt>
                <c:pt idx="58">
                  <c:v>34.423476794838045</c:v>
                </c:pt>
                <c:pt idx="59">
                  <c:v>34.040185265970457</c:v>
                </c:pt>
                <c:pt idx="60">
                  <c:v>33.65689373710287</c:v>
                </c:pt>
                <c:pt idx="61">
                  <c:v>33.273602208235282</c:v>
                </c:pt>
                <c:pt idx="62">
                  <c:v>32.890310679367694</c:v>
                </c:pt>
                <c:pt idx="63">
                  <c:v>32.507019150500106</c:v>
                </c:pt>
                <c:pt idx="64">
                  <c:v>32.123727621632518</c:v>
                </c:pt>
                <c:pt idx="65">
                  <c:v>31.740436092764931</c:v>
                </c:pt>
                <c:pt idx="66">
                  <c:v>31.357144563897343</c:v>
                </c:pt>
                <c:pt idx="67">
                  <c:v>30.973853035029755</c:v>
                </c:pt>
                <c:pt idx="68">
                  <c:v>30.590561506162167</c:v>
                </c:pt>
                <c:pt idx="69">
                  <c:v>30.20726997729458</c:v>
                </c:pt>
                <c:pt idx="70">
                  <c:v>29.823978448426992</c:v>
                </c:pt>
                <c:pt idx="71">
                  <c:v>29.440686919559404</c:v>
                </c:pt>
                <c:pt idx="72">
                  <c:v>29.057395390691816</c:v>
                </c:pt>
                <c:pt idx="73">
                  <c:v>28.674103861824229</c:v>
                </c:pt>
                <c:pt idx="74">
                  <c:v>28.290812332956641</c:v>
                </c:pt>
                <c:pt idx="75">
                  <c:v>27.907520804089053</c:v>
                </c:pt>
                <c:pt idx="76">
                  <c:v>27.524229275221465</c:v>
                </c:pt>
                <c:pt idx="77">
                  <c:v>27.140937746353877</c:v>
                </c:pt>
                <c:pt idx="78">
                  <c:v>26.75764621748629</c:v>
                </c:pt>
                <c:pt idx="79">
                  <c:v>26.374354688618702</c:v>
                </c:pt>
                <c:pt idx="80">
                  <c:v>25.991063159751114</c:v>
                </c:pt>
                <c:pt idx="81">
                  <c:v>25.607771630883526</c:v>
                </c:pt>
                <c:pt idx="82">
                  <c:v>25.224480102015939</c:v>
                </c:pt>
                <c:pt idx="83">
                  <c:v>24.841188573148351</c:v>
                </c:pt>
                <c:pt idx="84">
                  <c:v>24.457897044280763</c:v>
                </c:pt>
                <c:pt idx="85">
                  <c:v>24.074605515413175</c:v>
                </c:pt>
                <c:pt idx="86">
                  <c:v>23.691313986545588</c:v>
                </c:pt>
                <c:pt idx="87">
                  <c:v>23.308022457678</c:v>
                </c:pt>
                <c:pt idx="88">
                  <c:v>22.924730928810412</c:v>
                </c:pt>
                <c:pt idx="89">
                  <c:v>22.541439399942824</c:v>
                </c:pt>
                <c:pt idx="90">
                  <c:v>22.158147871075236</c:v>
                </c:pt>
                <c:pt idx="91">
                  <c:v>21.774856342207649</c:v>
                </c:pt>
                <c:pt idx="92">
                  <c:v>21.391564813340061</c:v>
                </c:pt>
                <c:pt idx="93">
                  <c:v>21.008273284472473</c:v>
                </c:pt>
                <c:pt idx="94">
                  <c:v>20.624981755604885</c:v>
                </c:pt>
                <c:pt idx="95">
                  <c:v>20.241690226737298</c:v>
                </c:pt>
                <c:pt idx="96">
                  <c:v>19.85839869786971</c:v>
                </c:pt>
                <c:pt idx="97">
                  <c:v>19.475107169002122</c:v>
                </c:pt>
                <c:pt idx="98">
                  <c:v>19.091815640134534</c:v>
                </c:pt>
                <c:pt idx="99">
                  <c:v>18.708524111266946</c:v>
                </c:pt>
                <c:pt idx="100">
                  <c:v>18.325232582399359</c:v>
                </c:pt>
                <c:pt idx="101">
                  <c:v>17.941941053531771</c:v>
                </c:pt>
                <c:pt idx="102">
                  <c:v>17.558649524664183</c:v>
                </c:pt>
                <c:pt idx="103">
                  <c:v>17.175357995796595</c:v>
                </c:pt>
                <c:pt idx="104">
                  <c:v>16.792066466929008</c:v>
                </c:pt>
                <c:pt idx="105">
                  <c:v>16.40877493806142</c:v>
                </c:pt>
                <c:pt idx="106">
                  <c:v>16.025483409193832</c:v>
                </c:pt>
                <c:pt idx="107">
                  <c:v>15.642191880326244</c:v>
                </c:pt>
                <c:pt idx="108">
                  <c:v>15.258900351458657</c:v>
                </c:pt>
                <c:pt idx="109">
                  <c:v>14.875608822591069</c:v>
                </c:pt>
                <c:pt idx="110">
                  <c:v>14.492317293723481</c:v>
                </c:pt>
                <c:pt idx="111">
                  <c:v>14.109025764855893</c:v>
                </c:pt>
                <c:pt idx="112">
                  <c:v>13.725734235988305</c:v>
                </c:pt>
                <c:pt idx="113">
                  <c:v>13.342442707120718</c:v>
                </c:pt>
                <c:pt idx="114">
                  <c:v>12.95915117825313</c:v>
                </c:pt>
                <c:pt idx="115">
                  <c:v>12.575859649385542</c:v>
                </c:pt>
                <c:pt idx="116">
                  <c:v>12.192568120517954</c:v>
                </c:pt>
                <c:pt idx="117">
                  <c:v>11.809276591650367</c:v>
                </c:pt>
                <c:pt idx="118">
                  <c:v>11.425985062782779</c:v>
                </c:pt>
                <c:pt idx="119">
                  <c:v>11.042693533915191</c:v>
                </c:pt>
                <c:pt idx="120">
                  <c:v>10.659402005047603</c:v>
                </c:pt>
                <c:pt idx="121">
                  <c:v>10.276110476180015</c:v>
                </c:pt>
                <c:pt idx="122">
                  <c:v>9.8928189473124277</c:v>
                </c:pt>
                <c:pt idx="123">
                  <c:v>9.50952741844484</c:v>
                </c:pt>
                <c:pt idx="124">
                  <c:v>9.1262358895772522</c:v>
                </c:pt>
                <c:pt idx="125">
                  <c:v>8.7429443607096644</c:v>
                </c:pt>
                <c:pt idx="126">
                  <c:v>8.3596528318420766</c:v>
                </c:pt>
                <c:pt idx="127">
                  <c:v>7.976361302974488</c:v>
                </c:pt>
                <c:pt idx="128">
                  <c:v>7.5930697741068993</c:v>
                </c:pt>
                <c:pt idx="129">
                  <c:v>7.2097782452393107</c:v>
                </c:pt>
                <c:pt idx="130">
                  <c:v>6.826486716371722</c:v>
                </c:pt>
                <c:pt idx="131">
                  <c:v>6.4431951875041333</c:v>
                </c:pt>
                <c:pt idx="132">
                  <c:v>6.0599036586365447</c:v>
                </c:pt>
                <c:pt idx="133">
                  <c:v>5.676612129768956</c:v>
                </c:pt>
                <c:pt idx="134">
                  <c:v>5.2933206009013674</c:v>
                </c:pt>
                <c:pt idx="135">
                  <c:v>4.9100290720337787</c:v>
                </c:pt>
                <c:pt idx="136">
                  <c:v>4.52673754316619</c:v>
                </c:pt>
                <c:pt idx="137">
                  <c:v>4.1434460142986014</c:v>
                </c:pt>
                <c:pt idx="138">
                  <c:v>3.7601544854310132</c:v>
                </c:pt>
                <c:pt idx="139">
                  <c:v>3.3768629565634249</c:v>
                </c:pt>
                <c:pt idx="140">
                  <c:v>2.9935714276958367</c:v>
                </c:pt>
                <c:pt idx="141">
                  <c:v>2.6102798988282485</c:v>
                </c:pt>
                <c:pt idx="142">
                  <c:v>2.2269883699606603</c:v>
                </c:pt>
                <c:pt idx="143">
                  <c:v>1.8436968410930721</c:v>
                </c:pt>
                <c:pt idx="144">
                  <c:v>1.4604053122254839</c:v>
                </c:pt>
                <c:pt idx="145">
                  <c:v>1.0771137833578956</c:v>
                </c:pt>
                <c:pt idx="146">
                  <c:v>0.69382225449030743</c:v>
                </c:pt>
                <c:pt idx="147">
                  <c:v>0.31053072562271916</c:v>
                </c:pt>
                <c:pt idx="148">
                  <c:v>-7.276080324486911E-2</c:v>
                </c:pt>
                <c:pt idx="149">
                  <c:v>-0.45605233211245738</c:v>
                </c:pt>
                <c:pt idx="150">
                  <c:v>-0.83934386098004565</c:v>
                </c:pt>
                <c:pt idx="151">
                  <c:v>-1.2226353898476339</c:v>
                </c:pt>
                <c:pt idx="152">
                  <c:v>-1.6059269187152221</c:v>
                </c:pt>
                <c:pt idx="153">
                  <c:v>-1.9892184475828103</c:v>
                </c:pt>
                <c:pt idx="154">
                  <c:v>-2.3725099764503987</c:v>
                </c:pt>
                <c:pt idx="155">
                  <c:v>-2.755801505317987</c:v>
                </c:pt>
                <c:pt idx="156">
                  <c:v>-3.1390930341855752</c:v>
                </c:pt>
                <c:pt idx="157">
                  <c:v>-3.5223845630531634</c:v>
                </c:pt>
                <c:pt idx="158">
                  <c:v>-3.9056760919207516</c:v>
                </c:pt>
                <c:pt idx="159">
                  <c:v>-4.2889676207883403</c:v>
                </c:pt>
                <c:pt idx="160">
                  <c:v>-4.6722591496559289</c:v>
                </c:pt>
                <c:pt idx="161">
                  <c:v>-5.0555506785235176</c:v>
                </c:pt>
                <c:pt idx="162">
                  <c:v>-5.4388422073911062</c:v>
                </c:pt>
                <c:pt idx="163">
                  <c:v>-5.8221337362586949</c:v>
                </c:pt>
                <c:pt idx="164">
                  <c:v>-6.2054252651262836</c:v>
                </c:pt>
                <c:pt idx="165">
                  <c:v>-6.5887167939938722</c:v>
                </c:pt>
                <c:pt idx="166">
                  <c:v>-6.9720083228614609</c:v>
                </c:pt>
                <c:pt idx="167">
                  <c:v>-7.3552998517290495</c:v>
                </c:pt>
                <c:pt idx="168">
                  <c:v>-7.7385913805966382</c:v>
                </c:pt>
                <c:pt idx="169">
                  <c:v>-8.121882909464226</c:v>
                </c:pt>
                <c:pt idx="170">
                  <c:v>-8.5051744383318137</c:v>
                </c:pt>
                <c:pt idx="171">
                  <c:v>-8.8884659671994015</c:v>
                </c:pt>
                <c:pt idx="172">
                  <c:v>-9.2717574960669893</c:v>
                </c:pt>
                <c:pt idx="173">
                  <c:v>-9.6550490249345771</c:v>
                </c:pt>
                <c:pt idx="174">
                  <c:v>-10.038340553802165</c:v>
                </c:pt>
                <c:pt idx="175">
                  <c:v>-10.421632082669753</c:v>
                </c:pt>
                <c:pt idx="176">
                  <c:v>-10.80492361153734</c:v>
                </c:pt>
                <c:pt idx="177">
                  <c:v>-11.188215140404928</c:v>
                </c:pt>
                <c:pt idx="178">
                  <c:v>-11.571506669272516</c:v>
                </c:pt>
                <c:pt idx="179">
                  <c:v>-11.941054662610044</c:v>
                </c:pt>
                <c:pt idx="180">
                  <c:v>-11.941054662610044</c:v>
                </c:pt>
                <c:pt idx="181">
                  <c:v>-11.941054662610044</c:v>
                </c:pt>
                <c:pt idx="182">
                  <c:v>-11.941054662610044</c:v>
                </c:pt>
                <c:pt idx="183">
                  <c:v>-11.941054662610044</c:v>
                </c:pt>
                <c:pt idx="184">
                  <c:v>-11.941054662610044</c:v>
                </c:pt>
                <c:pt idx="185">
                  <c:v>-11.941054662610044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899-5649-96E2-64AEA5682F16}"/>
            </c:ext>
          </c:extLst>
        </c:ser>
        <c:ser>
          <c:idx val="1"/>
          <c:order val="1"/>
          <c:spPr>
            <a:ln w="254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'globale Grafik'!$T$8:$T$193</c:f>
              <c:numCache>
                <c:formatCode>0.00</c:formatCode>
                <c:ptCount val="186"/>
                <c:pt idx="0">
                  <c:v>54.811858241569439</c:v>
                </c:pt>
                <c:pt idx="1">
                  <c:v>54.811858241569439</c:v>
                </c:pt>
                <c:pt idx="2">
                  <c:v>49.489244000137887</c:v>
                </c:pt>
                <c:pt idx="3">
                  <c:v>46.574651703510767</c:v>
                </c:pt>
                <c:pt idx="4">
                  <c:v>44.42721220911443</c:v>
                </c:pt>
                <c:pt idx="5">
                  <c:v>42.667521345205955</c:v>
                </c:pt>
                <c:pt idx="6">
                  <c:v>41.15524576500826</c:v>
                </c:pt>
                <c:pt idx="7">
                  <c:v>39.819571411831816</c:v>
                </c:pt>
                <c:pt idx="8">
                  <c:v>38.618691166094379</c:v>
                </c:pt>
                <c:pt idx="9">
                  <c:v>37.525404674164008</c:v>
                </c:pt>
                <c:pt idx="10">
                  <c:v>36.52079595489738</c:v>
                </c:pt>
                <c:pt idx="11">
                  <c:v>35.591053907651883</c:v>
                </c:pt>
                <c:pt idx="12">
                  <c:v>34.725712490046988</c:v>
                </c:pt>
                <c:pt idx="13">
                  <c:v>33.916604204086639</c:v>
                </c:pt>
                <c:pt idx="14">
                  <c:v>33.157201967622655</c:v>
                </c:pt>
                <c:pt idx="15">
                  <c:v>32.442186220143526</c:v>
                </c:pt>
                <c:pt idx="16">
                  <c:v>31.767149473326924</c:v>
                </c:pt>
                <c:pt idx="17">
                  <c:v>31.128388338780553</c:v>
                </c:pt>
                <c:pt idx="18">
                  <c:v>30.522753236051528</c:v>
                </c:pt>
                <c:pt idx="19">
                  <c:v>29.947537299366957</c:v>
                </c:pt>
                <c:pt idx="20">
                  <c:v>29.400392627249175</c:v>
                </c:pt>
                <c:pt idx="21">
                  <c:v>28.879266044263204</c:v>
                </c:pt>
                <c:pt idx="22">
                  <c:v>28.382349068890392</c:v>
                </c:pt>
                <c:pt idx="23">
                  <c:v>27.908038410224208</c:v>
                </c:pt>
                <c:pt idx="24">
                  <c:v>27.454904393278184</c:v>
                </c:pt>
                <c:pt idx="25">
                  <c:v>27.021665440950812</c:v>
                </c:pt>
                <c:pt idx="26">
                  <c:v>26.607167242967989</c:v>
                </c:pt>
                <c:pt idx="27">
                  <c:v>26.210365594812629</c:v>
                </c:pt>
                <c:pt idx="28">
                  <c:v>25.830312141366278</c:v>
                </c:pt>
                <c:pt idx="29">
                  <c:v>25.466142442323701</c:v>
                </c:pt>
                <c:pt idx="30">
                  <c:v>25.11706591032555</c:v>
                </c:pt>
                <c:pt idx="31">
                  <c:v>24.782357272300032</c:v>
                </c:pt>
                <c:pt idx="32">
                  <c:v>24.461349279369131</c:v>
                </c:pt>
                <c:pt idx="33">
                  <c:v>24.153426447591869</c:v>
                </c:pt>
                <c:pt idx="34">
                  <c:v>23.858019655504165</c:v>
                </c:pt>
                <c:pt idx="35">
                  <c:v>23.57460145827315</c:v>
                </c:pt>
                <c:pt idx="36">
                  <c:v>23.302682004737676</c:v>
                </c:pt>
                <c:pt idx="37">
                  <c:v>23.041805464447577</c:v>
                </c:pt>
                <c:pt idx="38">
                  <c:v>22.791546888362461</c:v>
                </c:pt>
                <c:pt idx="39">
                  <c:v>22.551509440088125</c:v>
                </c:pt>
                <c:pt idx="40">
                  <c:v>22.321321945176408</c:v>
                </c:pt>
                <c:pt idx="41">
                  <c:v>22.100636714627683</c:v>
                </c:pt>
                <c:pt idx="42">
                  <c:v>21.889127605755789</c:v>
                </c:pt>
                <c:pt idx="43">
                  <c:v>21.686488289325723</c:v>
                </c:pt>
                <c:pt idx="44">
                  <c:v>21.492430696608608</c:v>
                </c:pt>
                <c:pt idx="45">
                  <c:v>21.30668362391782</c:v>
                </c:pt>
                <c:pt idx="46">
                  <c:v>21.128991475449823</c:v>
                </c:pt>
                <c:pt idx="47">
                  <c:v>20.959113127976536</c:v>
                </c:pt>
                <c:pt idx="48">
                  <c:v>20.796820903219668</c:v>
                </c:pt>
                <c:pt idx="49">
                  <c:v>20.641899635663833</c:v>
                </c:pt>
                <c:pt idx="50">
                  <c:v>20.494145825192732</c:v>
                </c:pt>
                <c:pt idx="51">
                  <c:v>20.35336686531565</c:v>
                </c:pt>
                <c:pt idx="52">
                  <c:v>20.219380338929568</c:v>
                </c:pt>
                <c:pt idx="53">
                  <c:v>20.09201337457057</c:v>
                </c:pt>
                <c:pt idx="54">
                  <c:v>19.971102056971404</c:v>
                </c:pt>
                <c:pt idx="55">
                  <c:v>19.856490886486426</c:v>
                </c:pt>
                <c:pt idx="56">
                  <c:v>19.748032282589065</c:v>
                </c:pt>
                <c:pt idx="57">
                  <c:v>19.645586127200374</c:v>
                </c:pt>
                <c:pt idx="58">
                  <c:v>19.549019344093551</c:v>
                </c:pt>
                <c:pt idx="59">
                  <c:v>19.458205511036908</c:v>
                </c:pt>
                <c:pt idx="60">
                  <c:v>19.373024501707505</c:v>
                </c:pt>
                <c:pt idx="61">
                  <c:v>19.293362154727333</c:v>
                </c:pt>
                <c:pt idx="62">
                  <c:v>19.219109967457882</c:v>
                </c:pt>
                <c:pt idx="63">
                  <c:v>19.150164812434582</c:v>
                </c:pt>
                <c:pt idx="64">
                  <c:v>19.086428674545402</c:v>
                </c:pt>
                <c:pt idx="65">
                  <c:v>19.027808407245345</c:v>
                </c:pt>
                <c:pt idx="66">
                  <c:v>18.974215506277517</c:v>
                </c:pt>
                <c:pt idx="67">
                  <c:v>18.925565899516698</c:v>
                </c:pt>
                <c:pt idx="68">
                  <c:v>18.881779751689862</c:v>
                </c:pt>
                <c:pt idx="69">
                  <c:v>18.842781282850069</c:v>
                </c:pt>
                <c:pt idx="70">
                  <c:v>18.8084985995838</c:v>
                </c:pt>
                <c:pt idx="71">
                  <c:v>18.778863538033079</c:v>
                </c:pt>
                <c:pt idx="72">
                  <c:v>18.753811517896906</c:v>
                </c:pt>
                <c:pt idx="73">
                  <c:v>18.733281406655465</c:v>
                </c:pt>
                <c:pt idx="74">
                  <c:v>18.717215393331912</c:v>
                </c:pt>
                <c:pt idx="75">
                  <c:v>18.705558871168478</c:v>
                </c:pt>
                <c:pt idx="76">
                  <c:v>18.698260328651372</c:v>
                </c:pt>
                <c:pt idx="77">
                  <c:v>18.695271248371682</c:v>
                </c:pt>
                <c:pt idx="78">
                  <c:v>18.69654601325675</c:v>
                </c:pt>
                <c:pt idx="79">
                  <c:v>18.702041819748615</c:v>
                </c:pt>
                <c:pt idx="80">
                  <c:v>18.711718597547531</c:v>
                </c:pt>
                <c:pt idx="81">
                  <c:v>18.72553893557307</c:v>
                </c:pt>
                <c:pt idx="82">
                  <c:v>18.743468013830352</c:v>
                </c:pt>
                <c:pt idx="83">
                  <c:v>18.765473540898086</c:v>
                </c:pt>
                <c:pt idx="84">
                  <c:v>18.791525696784959</c:v>
                </c:pt>
                <c:pt idx="85">
                  <c:v>18.821597080927461</c:v>
                </c:pt>
                <c:pt idx="86">
                  <c:v>18.855662665125578</c:v>
                </c:pt>
                <c:pt idx="87">
                  <c:v>18.893699751238671</c:v>
                </c:pt>
                <c:pt idx="88">
                  <c:v>18.935687933482939</c:v>
                </c:pt>
                <c:pt idx="89">
                  <c:v>18.981609065195471</c:v>
                </c:pt>
                <c:pt idx="90">
                  <c:v>19.031447229947503</c:v>
                </c:pt>
                <c:pt idx="91">
                  <c:v>19.085188716910636</c:v>
                </c:pt>
                <c:pt idx="92">
                  <c:v>19.142822000396336</c:v>
                </c:pt>
                <c:pt idx="93">
                  <c:v>19.204337723508559</c:v>
                </c:pt>
                <c:pt idx="94">
                  <c:v>19.269728685866653</c:v>
                </c:pt>
                <c:pt idx="95">
                  <c:v>19.338989835371649</c:v>
                </c:pt>
                <c:pt idx="96">
                  <c:v>19.412118264009109</c:v>
                </c:pt>
                <c:pt idx="97">
                  <c:v>19.489113207696846</c:v>
                </c:pt>
                <c:pt idx="98">
                  <c:v>19.569976050203593</c:v>
                </c:pt>
                <c:pt idx="99">
                  <c:v>19.654710331184901</c:v>
                </c:pt>
                <c:pt idx="100">
                  <c:v>19.743321758397087</c:v>
                </c:pt>
                <c:pt idx="101">
                  <c:v>19.835818224173295</c:v>
                </c:pt>
                <c:pt idx="102">
                  <c:v>19.932209826262522</c:v>
                </c:pt>
                <c:pt idx="103">
                  <c:v>20.032508893153818</c:v>
                </c:pt>
                <c:pt idx="104">
                  <c:v>20.136730014032082</c:v>
                </c:pt>
                <c:pt idx="105">
                  <c:v>20.24489007353128</c:v>
                </c:pt>
                <c:pt idx="106">
                  <c:v>20.357008291479929</c:v>
                </c:pt>
                <c:pt idx="107">
                  <c:v>20.473106267856679</c:v>
                </c:pt>
                <c:pt idx="108">
                  <c:v>20.593208033206054</c:v>
                </c:pt>
                <c:pt idx="109">
                  <c:v>20.717340104793095</c:v>
                </c:pt>
                <c:pt idx="110">
                  <c:v>20.845531548809845</c:v>
                </c:pt>
                <c:pt idx="111">
                  <c:v>20.977814048986943</c:v>
                </c:pt>
                <c:pt idx="112">
                  <c:v>21.114221981998185</c:v>
                </c:pt>
                <c:pt idx="113">
                  <c:v>21.254792500097039</c:v>
                </c:pt>
                <c:pt idx="114">
                  <c:v>21.399565621469208</c:v>
                </c:pt>
                <c:pt idx="115">
                  <c:v>21.548584328840718</c:v>
                </c:pt>
                <c:pt idx="116">
                  <c:v>21.701894676943311</c:v>
                </c:pt>
                <c:pt idx="117">
                  <c:v>21.859545909503197</c:v>
                </c:pt>
                <c:pt idx="118">
                  <c:v>22.021590586497439</c:v>
                </c:pt>
                <c:pt idx="119">
                  <c:v>22.188084722503675</c:v>
                </c:pt>
                <c:pt idx="120">
                  <c:v>22.35908793706426</c:v>
                </c:pt>
                <c:pt idx="121">
                  <c:v>22.534663618091599</c:v>
                </c:pt>
                <c:pt idx="122">
                  <c:v>22.714879099459779</c:v>
                </c:pt>
                <c:pt idx="123">
                  <c:v>22.899805854062606</c:v>
                </c:pt>
                <c:pt idx="124">
                  <c:v>23.089519703770861</c:v>
                </c:pt>
                <c:pt idx="125">
                  <c:v>23.284101047892591</c:v>
                </c:pt>
                <c:pt idx="126">
                  <c:v>23.483635111938383</c:v>
                </c:pt>
                <c:pt idx="127">
                  <c:v>23.688212218716558</c:v>
                </c:pt>
                <c:pt idx="128">
                  <c:v>23.897928084039222</c:v>
                </c:pt>
                <c:pt idx="129">
                  <c:v>24.112884139614096</c:v>
                </c:pt>
                <c:pt idx="130">
                  <c:v>24.333187886033954</c:v>
                </c:pt>
                <c:pt idx="131">
                  <c:v>24.558953279163916</c:v>
                </c:pt>
                <c:pt idx="132">
                  <c:v>24.790301153676921</c:v>
                </c:pt>
                <c:pt idx="133">
                  <c:v>25.027359688008232</c:v>
                </c:pt>
                <c:pt idx="134">
                  <c:v>25.270264915605594</c:v>
                </c:pt>
                <c:pt idx="135">
                  <c:v>25.519161288058228</c:v>
                </c:pt>
                <c:pt idx="136">
                  <c:v>25.774202296515966</c:v>
                </c:pt>
                <c:pt idx="137">
                  <c:v>26.035551158780947</c:v>
                </c:pt>
                <c:pt idx="138">
                  <c:v>26.303381580598284</c:v>
                </c:pt>
                <c:pt idx="139">
                  <c:v>26.577878601032126</c:v>
                </c:pt>
                <c:pt idx="140">
                  <c:v>26.859239533416769</c:v>
                </c:pt>
                <c:pt idx="141">
                  <c:v>27.147675015299853</c:v>
                </c:pt>
                <c:pt idx="142">
                  <c:v>27.443410183090748</c:v>
                </c:pt>
                <c:pt idx="143">
                  <c:v>27.746685989897514</c:v>
                </c:pt>
                <c:pt idx="144">
                  <c:v>28.057760688384576</c:v>
                </c:pt>
                <c:pt idx="145">
                  <c:v>28.376911504550435</c:v>
                </c:pt>
                <c:pt idx="146">
                  <c:v>28.704436533293347</c:v>
                </c:pt>
                <c:pt idx="147">
                  <c:v>29.040656892741197</c:v>
                </c:pt>
                <c:pt idx="148">
                  <c:v>29.385919181861539</c:v>
                </c:pt>
                <c:pt idx="149">
                  <c:v>29.740598295249981</c:v>
                </c:pt>
                <c:pt idx="150">
                  <c:v>30.105100660733115</c:v>
                </c:pt>
                <c:pt idx="151">
                  <c:v>30.479867980218614</c:v>
                </c:pt>
                <c:pt idx="152">
                  <c:v>30.865381573012883</c:v>
                </c:pt>
                <c:pt idx="153">
                  <c:v>31.262167444876866</c:v>
                </c:pt>
                <c:pt idx="154">
                  <c:v>31.670802237131738</c:v>
                </c:pt>
                <c:pt idx="155">
                  <c:v>32.091920250573196</c:v>
                </c:pt>
                <c:pt idx="156">
                  <c:v>32.526221792151944</c:v>
                </c:pt>
                <c:pt idx="157">
                  <c:v>32.974483163115565</c:v>
                </c:pt>
                <c:pt idx="158">
                  <c:v>33.437568702425096</c:v>
                </c:pt>
                <c:pt idx="159">
                  <c:v>33.916445428759744</c:v>
                </c:pt>
                <c:pt idx="160">
                  <c:v>34.412201003120799</c:v>
                </c:pt>
                <c:pt idx="161">
                  <c:v>34.926065984272157</c:v>
                </c:pt>
                <c:pt idx="162">
                  <c:v>35.459441705324991</c:v>
                </c:pt>
                <c:pt idx="163">
                  <c:v>36.013935615532375</c:v>
                </c:pt>
                <c:pt idx="164">
                  <c:v>36.591406693216072</c:v>
                </c:pt>
                <c:pt idx="165">
                  <c:v>37.194024686014131</c:v>
                </c:pt>
                <c:pt idx="166">
                  <c:v>37.824348714407847</c:v>
                </c:pt>
                <c:pt idx="167">
                  <c:v>38.485433605500532</c:v>
                </c:pt>
                <c:pt idx="168">
                  <c:v>39.180976971314976</c:v>
                </c:pt>
                <c:pt idx="169">
                  <c:v>39.915527955959135</c:v>
                </c:pt>
                <c:pt idx="170">
                  <c:v>40.694792618579982</c:v>
                </c:pt>
                <c:pt idx="171">
                  <c:v>41.526097116550602</c:v>
                </c:pt>
                <c:pt idx="172">
                  <c:v>42.419121720589942</c:v>
                </c:pt>
                <c:pt idx="173">
                  <c:v>43.387129127853939</c:v>
                </c:pt>
                <c:pt idx="174">
                  <c:v>44.449168155587245</c:v>
                </c:pt>
                <c:pt idx="175">
                  <c:v>45.634410706481844</c:v>
                </c:pt>
                <c:pt idx="176">
                  <c:v>46.991872648060223</c:v>
                </c:pt>
                <c:pt idx="177">
                  <c:v>48.617017670900793</c:v>
                </c:pt>
                <c:pt idx="178">
                  <c:v>50.756537456991509</c:v>
                </c:pt>
                <c:pt idx="179">
                  <c:v>55.086633194599074</c:v>
                </c:pt>
                <c:pt idx="180">
                  <c:v>55.086633194599074</c:v>
                </c:pt>
                <c:pt idx="181">
                  <c:v>55.086633194599074</c:v>
                </c:pt>
                <c:pt idx="182">
                  <c:v>55.086633194599074</c:v>
                </c:pt>
                <c:pt idx="183">
                  <c:v>55.086633194599074</c:v>
                </c:pt>
                <c:pt idx="184">
                  <c:v>55.086633194599074</c:v>
                </c:pt>
                <c:pt idx="185">
                  <c:v>55.086633194599074</c:v>
                </c:pt>
              </c:numCache>
            </c:numRef>
          </c:xVal>
          <c:yVal>
            <c:numRef>
              <c:f>'globale Grafik'!$M$8:$M$193</c:f>
              <c:numCache>
                <c:formatCode>0.00\°;[Red]0.00\°</c:formatCode>
                <c:ptCount val="186"/>
                <c:pt idx="0">
                  <c:v>56.214284919562225</c:v>
                </c:pt>
                <c:pt idx="1">
                  <c:v>56.214284919562225</c:v>
                </c:pt>
                <c:pt idx="2">
                  <c:v>55.88780241142296</c:v>
                </c:pt>
                <c:pt idx="3">
                  <c:v>55.504510882555373</c:v>
                </c:pt>
                <c:pt idx="4">
                  <c:v>55.121219353687785</c:v>
                </c:pt>
                <c:pt idx="5">
                  <c:v>54.737927824820197</c:v>
                </c:pt>
                <c:pt idx="6">
                  <c:v>54.354636295952609</c:v>
                </c:pt>
                <c:pt idx="7">
                  <c:v>53.971344767085021</c:v>
                </c:pt>
                <c:pt idx="8">
                  <c:v>53.588053238217434</c:v>
                </c:pt>
                <c:pt idx="9">
                  <c:v>53.204761709349846</c:v>
                </c:pt>
                <c:pt idx="10">
                  <c:v>52.821470180482258</c:v>
                </c:pt>
                <c:pt idx="11">
                  <c:v>52.43817865161467</c:v>
                </c:pt>
                <c:pt idx="12">
                  <c:v>52.054887122747083</c:v>
                </c:pt>
                <c:pt idx="13">
                  <c:v>51.671595593879495</c:v>
                </c:pt>
                <c:pt idx="14">
                  <c:v>51.288304065011907</c:v>
                </c:pt>
                <c:pt idx="15">
                  <c:v>50.905012536144319</c:v>
                </c:pt>
                <c:pt idx="16">
                  <c:v>50.521721007276732</c:v>
                </c:pt>
                <c:pt idx="17">
                  <c:v>50.138429478409144</c:v>
                </c:pt>
                <c:pt idx="18">
                  <c:v>49.755137949541556</c:v>
                </c:pt>
                <c:pt idx="19">
                  <c:v>49.371846420673968</c:v>
                </c:pt>
                <c:pt idx="20">
                  <c:v>48.98855489180638</c:v>
                </c:pt>
                <c:pt idx="21">
                  <c:v>48.605263362938793</c:v>
                </c:pt>
                <c:pt idx="22">
                  <c:v>48.221971834071205</c:v>
                </c:pt>
                <c:pt idx="23">
                  <c:v>47.838680305203617</c:v>
                </c:pt>
                <c:pt idx="24">
                  <c:v>47.455388776336029</c:v>
                </c:pt>
                <c:pt idx="25">
                  <c:v>47.072097247468442</c:v>
                </c:pt>
                <c:pt idx="26">
                  <c:v>46.688805718600854</c:v>
                </c:pt>
                <c:pt idx="27">
                  <c:v>46.305514189733266</c:v>
                </c:pt>
                <c:pt idx="28">
                  <c:v>45.922222660865678</c:v>
                </c:pt>
                <c:pt idx="29">
                  <c:v>45.538931131998091</c:v>
                </c:pt>
                <c:pt idx="30">
                  <c:v>45.155639603130503</c:v>
                </c:pt>
                <c:pt idx="31">
                  <c:v>44.772348074262915</c:v>
                </c:pt>
                <c:pt idx="32">
                  <c:v>44.389056545395327</c:v>
                </c:pt>
                <c:pt idx="33">
                  <c:v>44.005765016527739</c:v>
                </c:pt>
                <c:pt idx="34">
                  <c:v>43.622473487660152</c:v>
                </c:pt>
                <c:pt idx="35">
                  <c:v>43.239181958792564</c:v>
                </c:pt>
                <c:pt idx="36">
                  <c:v>42.855890429924976</c:v>
                </c:pt>
                <c:pt idx="37">
                  <c:v>42.472598901057388</c:v>
                </c:pt>
                <c:pt idx="38">
                  <c:v>42.089307372189801</c:v>
                </c:pt>
                <c:pt idx="39">
                  <c:v>41.706015843322213</c:v>
                </c:pt>
                <c:pt idx="40">
                  <c:v>41.322724314454625</c:v>
                </c:pt>
                <c:pt idx="41">
                  <c:v>40.939432785587037</c:v>
                </c:pt>
                <c:pt idx="42">
                  <c:v>40.556141256719449</c:v>
                </c:pt>
                <c:pt idx="43">
                  <c:v>40.172849727851862</c:v>
                </c:pt>
                <c:pt idx="44">
                  <c:v>39.789558198984274</c:v>
                </c:pt>
                <c:pt idx="45">
                  <c:v>39.406266670116686</c:v>
                </c:pt>
                <c:pt idx="46">
                  <c:v>39.022975141249098</c:v>
                </c:pt>
                <c:pt idx="47">
                  <c:v>38.639683612381511</c:v>
                </c:pt>
                <c:pt idx="48">
                  <c:v>38.256392083513923</c:v>
                </c:pt>
                <c:pt idx="49">
                  <c:v>37.873100554646335</c:v>
                </c:pt>
                <c:pt idx="50">
                  <c:v>37.489809025778747</c:v>
                </c:pt>
                <c:pt idx="51">
                  <c:v>37.10651749691116</c:v>
                </c:pt>
                <c:pt idx="52">
                  <c:v>36.723225968043572</c:v>
                </c:pt>
                <c:pt idx="53">
                  <c:v>36.339934439175984</c:v>
                </c:pt>
                <c:pt idx="54">
                  <c:v>35.956642910308396</c:v>
                </c:pt>
                <c:pt idx="55">
                  <c:v>35.573351381440808</c:v>
                </c:pt>
                <c:pt idx="56">
                  <c:v>35.190059852573221</c:v>
                </c:pt>
                <c:pt idx="57">
                  <c:v>34.806768323705633</c:v>
                </c:pt>
                <c:pt idx="58">
                  <c:v>34.423476794838045</c:v>
                </c:pt>
                <c:pt idx="59">
                  <c:v>34.040185265970457</c:v>
                </c:pt>
                <c:pt idx="60">
                  <c:v>33.65689373710287</c:v>
                </c:pt>
                <c:pt idx="61">
                  <c:v>33.273602208235282</c:v>
                </c:pt>
                <c:pt idx="62">
                  <c:v>32.890310679367694</c:v>
                </c:pt>
                <c:pt idx="63">
                  <c:v>32.507019150500106</c:v>
                </c:pt>
                <c:pt idx="64">
                  <c:v>32.123727621632518</c:v>
                </c:pt>
                <c:pt idx="65">
                  <c:v>31.740436092764931</c:v>
                </c:pt>
                <c:pt idx="66">
                  <c:v>31.357144563897343</c:v>
                </c:pt>
                <c:pt idx="67">
                  <c:v>30.973853035029755</c:v>
                </c:pt>
                <c:pt idx="68">
                  <c:v>30.590561506162167</c:v>
                </c:pt>
                <c:pt idx="69">
                  <c:v>30.20726997729458</c:v>
                </c:pt>
                <c:pt idx="70">
                  <c:v>29.823978448426992</c:v>
                </c:pt>
                <c:pt idx="71">
                  <c:v>29.440686919559404</c:v>
                </c:pt>
                <c:pt idx="72">
                  <c:v>29.057395390691816</c:v>
                </c:pt>
                <c:pt idx="73">
                  <c:v>28.674103861824229</c:v>
                </c:pt>
                <c:pt idx="74">
                  <c:v>28.290812332956641</c:v>
                </c:pt>
                <c:pt idx="75">
                  <c:v>27.907520804089053</c:v>
                </c:pt>
                <c:pt idx="76">
                  <c:v>27.524229275221465</c:v>
                </c:pt>
                <c:pt idx="77">
                  <c:v>27.140937746353877</c:v>
                </c:pt>
                <c:pt idx="78">
                  <c:v>26.75764621748629</c:v>
                </c:pt>
                <c:pt idx="79">
                  <c:v>26.374354688618702</c:v>
                </c:pt>
                <c:pt idx="80">
                  <c:v>25.991063159751114</c:v>
                </c:pt>
                <c:pt idx="81">
                  <c:v>25.607771630883526</c:v>
                </c:pt>
                <c:pt idx="82">
                  <c:v>25.224480102015939</c:v>
                </c:pt>
                <c:pt idx="83">
                  <c:v>24.841188573148351</c:v>
                </c:pt>
                <c:pt idx="84">
                  <c:v>24.457897044280763</c:v>
                </c:pt>
                <c:pt idx="85">
                  <c:v>24.074605515413175</c:v>
                </c:pt>
                <c:pt idx="86">
                  <c:v>23.691313986545588</c:v>
                </c:pt>
                <c:pt idx="87">
                  <c:v>23.308022457678</c:v>
                </c:pt>
                <c:pt idx="88">
                  <c:v>22.924730928810412</c:v>
                </c:pt>
                <c:pt idx="89">
                  <c:v>22.541439399942824</c:v>
                </c:pt>
                <c:pt idx="90">
                  <c:v>22.158147871075236</c:v>
                </c:pt>
                <c:pt idx="91">
                  <c:v>21.774856342207649</c:v>
                </c:pt>
                <c:pt idx="92">
                  <c:v>21.391564813340061</c:v>
                </c:pt>
                <c:pt idx="93">
                  <c:v>21.008273284472473</c:v>
                </c:pt>
                <c:pt idx="94">
                  <c:v>20.624981755604885</c:v>
                </c:pt>
                <c:pt idx="95">
                  <c:v>20.241690226737298</c:v>
                </c:pt>
                <c:pt idx="96">
                  <c:v>19.85839869786971</c:v>
                </c:pt>
                <c:pt idx="97">
                  <c:v>19.475107169002122</c:v>
                </c:pt>
                <c:pt idx="98">
                  <c:v>19.091815640134534</c:v>
                </c:pt>
                <c:pt idx="99">
                  <c:v>18.708524111266946</c:v>
                </c:pt>
                <c:pt idx="100">
                  <c:v>18.325232582399359</c:v>
                </c:pt>
                <c:pt idx="101">
                  <c:v>17.941941053531771</c:v>
                </c:pt>
                <c:pt idx="102">
                  <c:v>17.558649524664183</c:v>
                </c:pt>
                <c:pt idx="103">
                  <c:v>17.175357995796595</c:v>
                </c:pt>
                <c:pt idx="104">
                  <c:v>16.792066466929008</c:v>
                </c:pt>
                <c:pt idx="105">
                  <c:v>16.40877493806142</c:v>
                </c:pt>
                <c:pt idx="106">
                  <c:v>16.025483409193832</c:v>
                </c:pt>
                <c:pt idx="107">
                  <c:v>15.642191880326244</c:v>
                </c:pt>
                <c:pt idx="108">
                  <c:v>15.258900351458657</c:v>
                </c:pt>
                <c:pt idx="109">
                  <c:v>14.875608822591069</c:v>
                </c:pt>
                <c:pt idx="110">
                  <c:v>14.492317293723481</c:v>
                </c:pt>
                <c:pt idx="111">
                  <c:v>14.109025764855893</c:v>
                </c:pt>
                <c:pt idx="112">
                  <c:v>13.725734235988305</c:v>
                </c:pt>
                <c:pt idx="113">
                  <c:v>13.342442707120718</c:v>
                </c:pt>
                <c:pt idx="114">
                  <c:v>12.95915117825313</c:v>
                </c:pt>
                <c:pt idx="115">
                  <c:v>12.575859649385542</c:v>
                </c:pt>
                <c:pt idx="116">
                  <c:v>12.192568120517954</c:v>
                </c:pt>
                <c:pt idx="117">
                  <c:v>11.809276591650367</c:v>
                </c:pt>
                <c:pt idx="118">
                  <c:v>11.425985062782779</c:v>
                </c:pt>
                <c:pt idx="119">
                  <c:v>11.042693533915191</c:v>
                </c:pt>
                <c:pt idx="120">
                  <c:v>10.659402005047603</c:v>
                </c:pt>
                <c:pt idx="121">
                  <c:v>10.276110476180015</c:v>
                </c:pt>
                <c:pt idx="122">
                  <c:v>9.8928189473124277</c:v>
                </c:pt>
                <c:pt idx="123">
                  <c:v>9.50952741844484</c:v>
                </c:pt>
                <c:pt idx="124">
                  <c:v>9.1262358895772522</c:v>
                </c:pt>
                <c:pt idx="125">
                  <c:v>8.7429443607096644</c:v>
                </c:pt>
                <c:pt idx="126">
                  <c:v>8.3596528318420766</c:v>
                </c:pt>
                <c:pt idx="127">
                  <c:v>7.976361302974488</c:v>
                </c:pt>
                <c:pt idx="128">
                  <c:v>7.5930697741068993</c:v>
                </c:pt>
                <c:pt idx="129">
                  <c:v>7.2097782452393107</c:v>
                </c:pt>
                <c:pt idx="130">
                  <c:v>6.826486716371722</c:v>
                </c:pt>
                <c:pt idx="131">
                  <c:v>6.4431951875041333</c:v>
                </c:pt>
                <c:pt idx="132">
                  <c:v>6.0599036586365447</c:v>
                </c:pt>
                <c:pt idx="133">
                  <c:v>5.676612129768956</c:v>
                </c:pt>
                <c:pt idx="134">
                  <c:v>5.2933206009013674</c:v>
                </c:pt>
                <c:pt idx="135">
                  <c:v>4.9100290720337787</c:v>
                </c:pt>
                <c:pt idx="136">
                  <c:v>4.52673754316619</c:v>
                </c:pt>
                <c:pt idx="137">
                  <c:v>4.1434460142986014</c:v>
                </c:pt>
                <c:pt idx="138">
                  <c:v>3.7601544854310132</c:v>
                </c:pt>
                <c:pt idx="139">
                  <c:v>3.3768629565634249</c:v>
                </c:pt>
                <c:pt idx="140">
                  <c:v>2.9935714276958367</c:v>
                </c:pt>
                <c:pt idx="141">
                  <c:v>2.6102798988282485</c:v>
                </c:pt>
                <c:pt idx="142">
                  <c:v>2.2269883699606603</c:v>
                </c:pt>
                <c:pt idx="143">
                  <c:v>1.8436968410930721</c:v>
                </c:pt>
                <c:pt idx="144">
                  <c:v>1.4604053122254839</c:v>
                </c:pt>
                <c:pt idx="145">
                  <c:v>1.0771137833578956</c:v>
                </c:pt>
                <c:pt idx="146">
                  <c:v>0.69382225449030743</c:v>
                </c:pt>
                <c:pt idx="147">
                  <c:v>0.31053072562271916</c:v>
                </c:pt>
                <c:pt idx="148">
                  <c:v>-7.276080324486911E-2</c:v>
                </c:pt>
                <c:pt idx="149">
                  <c:v>-0.45605233211245738</c:v>
                </c:pt>
                <c:pt idx="150">
                  <c:v>-0.83934386098004565</c:v>
                </c:pt>
                <c:pt idx="151">
                  <c:v>-1.2226353898476339</c:v>
                </c:pt>
                <c:pt idx="152">
                  <c:v>-1.6059269187152221</c:v>
                </c:pt>
                <c:pt idx="153">
                  <c:v>-1.9892184475828103</c:v>
                </c:pt>
                <c:pt idx="154">
                  <c:v>-2.3725099764503987</c:v>
                </c:pt>
                <c:pt idx="155">
                  <c:v>-2.755801505317987</c:v>
                </c:pt>
                <c:pt idx="156">
                  <c:v>-3.1390930341855752</c:v>
                </c:pt>
                <c:pt idx="157">
                  <c:v>-3.5223845630531634</c:v>
                </c:pt>
                <c:pt idx="158">
                  <c:v>-3.9056760919207516</c:v>
                </c:pt>
                <c:pt idx="159">
                  <c:v>-4.2889676207883403</c:v>
                </c:pt>
                <c:pt idx="160">
                  <c:v>-4.6722591496559289</c:v>
                </c:pt>
                <c:pt idx="161">
                  <c:v>-5.0555506785235176</c:v>
                </c:pt>
                <c:pt idx="162">
                  <c:v>-5.4388422073911062</c:v>
                </c:pt>
                <c:pt idx="163">
                  <c:v>-5.8221337362586949</c:v>
                </c:pt>
                <c:pt idx="164">
                  <c:v>-6.2054252651262836</c:v>
                </c:pt>
                <c:pt idx="165">
                  <c:v>-6.5887167939938722</c:v>
                </c:pt>
                <c:pt idx="166">
                  <c:v>-6.9720083228614609</c:v>
                </c:pt>
                <c:pt idx="167">
                  <c:v>-7.3552998517290495</c:v>
                </c:pt>
                <c:pt idx="168">
                  <c:v>-7.7385913805966382</c:v>
                </c:pt>
                <c:pt idx="169">
                  <c:v>-8.121882909464226</c:v>
                </c:pt>
                <c:pt idx="170">
                  <c:v>-8.5051744383318137</c:v>
                </c:pt>
                <c:pt idx="171">
                  <c:v>-8.8884659671994015</c:v>
                </c:pt>
                <c:pt idx="172">
                  <c:v>-9.2717574960669893</c:v>
                </c:pt>
                <c:pt idx="173">
                  <c:v>-9.6550490249345771</c:v>
                </c:pt>
                <c:pt idx="174">
                  <c:v>-10.038340553802165</c:v>
                </c:pt>
                <c:pt idx="175">
                  <c:v>-10.421632082669753</c:v>
                </c:pt>
                <c:pt idx="176">
                  <c:v>-10.80492361153734</c:v>
                </c:pt>
                <c:pt idx="177">
                  <c:v>-11.188215140404928</c:v>
                </c:pt>
                <c:pt idx="178">
                  <c:v>-11.571506669272516</c:v>
                </c:pt>
                <c:pt idx="179">
                  <c:v>-11.941054662610044</c:v>
                </c:pt>
                <c:pt idx="180">
                  <c:v>-11.941054662610044</c:v>
                </c:pt>
                <c:pt idx="181">
                  <c:v>-11.941054662610044</c:v>
                </c:pt>
                <c:pt idx="182">
                  <c:v>-11.941054662610044</c:v>
                </c:pt>
                <c:pt idx="183">
                  <c:v>-11.941054662610044</c:v>
                </c:pt>
                <c:pt idx="184">
                  <c:v>-11.941054662610044</c:v>
                </c:pt>
                <c:pt idx="185">
                  <c:v>-11.941054662610044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899-5649-96E2-64AEA5682F16}"/>
            </c:ext>
          </c:extLst>
        </c:ser>
        <c:ser>
          <c:idx val="2"/>
          <c:order val="2"/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'globale Grafik'!$W$8:$W$193</c:f>
              <c:numCache>
                <c:formatCode>0.00</c:formatCode>
                <c:ptCount val="18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11.048360052950954</c:v>
                </c:pt>
                <c:pt idx="50">
                  <c:v>14.614735262417923</c:v>
                </c:pt>
                <c:pt idx="51">
                  <c:v>16.216941510516619</c:v>
                </c:pt>
                <c:pt idx="52">
                  <c:v>17.416619006333121</c:v>
                </c:pt>
                <c:pt idx="53">
                  <c:v>18.401946811652635</c:v>
                </c:pt>
                <c:pt idx="54">
                  <c:v>19.246870857566364</c:v>
                </c:pt>
                <c:pt idx="55">
                  <c:v>19.989732155718286</c:v>
                </c:pt>
                <c:pt idx="56">
                  <c:v>20.653526446203387</c:v>
                </c:pt>
                <c:pt idx="57">
                  <c:v>21.253369017895182</c:v>
                </c:pt>
                <c:pt idx="58">
                  <c:v>21.799845321534747</c:v>
                </c:pt>
                <c:pt idx="59">
                  <c:v>22.300721815599104</c:v>
                </c:pt>
                <c:pt idx="60">
                  <c:v>22.761903587480958</c:v>
                </c:pt>
                <c:pt idx="61">
                  <c:v>23.188008762401751</c:v>
                </c:pt>
                <c:pt idx="62">
                  <c:v>23.582732220282253</c:v>
                </c:pt>
                <c:pt idx="63">
                  <c:v>23.94908616792361</c:v>
                </c:pt>
                <c:pt idx="64">
                  <c:v>24.289565078652515</c:v>
                </c:pt>
                <c:pt idx="65">
                  <c:v>24.606262233671373</c:v>
                </c:pt>
                <c:pt idx="66">
                  <c:v>24.900954202331377</c:v>
                </c:pt>
                <c:pt idx="67">
                  <c:v>25.175163446010629</c:v>
                </c:pt>
                <c:pt idx="68">
                  <c:v>25.430205607697303</c:v>
                </c:pt>
                <c:pt idx="69">
                  <c:v>25.667225838055629</c:v>
                </c:pt>
                <c:pt idx="70">
                  <c:v>25.887227115828807</c:v>
                </c:pt>
                <c:pt idx="71">
                  <c:v>26.091092618483458</c:v>
                </c:pt>
                <c:pt idx="72">
                  <c:v>26.279603600508551</c:v>
                </c:pt>
                <c:pt idx="73">
                  <c:v>26.453453830886758</c:v>
                </c:pt>
                <c:pt idx="74">
                  <c:v>26.613261360522699</c:v>
                </c:pt>
                <c:pt idx="75">
                  <c:v>26.759578192770277</c:v>
                </c:pt>
                <c:pt idx="76">
                  <c:v>26.892898288789638</c:v>
                </c:pt>
                <c:pt idx="77">
                  <c:v>27.013664236776265</c:v>
                </c:pt>
                <c:pt idx="78">
                  <c:v>27.122272838514618</c:v>
                </c:pt>
                <c:pt idx="79">
                  <c:v>27.219079810357812</c:v>
                </c:pt>
                <c:pt idx="80">
                  <c:v>27.304403753219844</c:v>
                </c:pt>
                <c:pt idx="81">
                  <c:v>27.378529513738158</c:v>
                </c:pt>
                <c:pt idx="82">
                  <c:v>27.441711033750209</c:v>
                </c:pt>
                <c:pt idx="83">
                  <c:v>27.494173765738708</c:v>
                </c:pt>
                <c:pt idx="84">
                  <c:v>27.536116716543404</c:v>
                </c:pt>
                <c:pt idx="85">
                  <c:v>27.567714169418082</c:v>
                </c:pt>
                <c:pt idx="86">
                  <c:v>27.58911712466022</c:v>
                </c:pt>
                <c:pt idx="87">
                  <c:v>27.600454491008691</c:v>
                </c:pt>
                <c:pt idx="88">
                  <c:v>27.601834053352547</c:v>
                </c:pt>
                <c:pt idx="89">
                  <c:v>27.593343236694182</c:v>
                </c:pt>
                <c:pt idx="90">
                  <c:v>27.575049681495727</c:v>
                </c:pt>
                <c:pt idx="91">
                  <c:v>27.547001641303609</c:v>
                </c:pt>
                <c:pt idx="92">
                  <c:v>27.509228209709136</c:v>
                </c:pt>
                <c:pt idx="93">
                  <c:v>27.46173938011998</c:v>
                </c:pt>
                <c:pt idx="94">
                  <c:v>27.404525938341578</c:v>
                </c:pt>
                <c:pt idx="95">
                  <c:v>27.337559184478778</c:v>
                </c:pt>
                <c:pt idx="96">
                  <c:v>27.260790477020407</c:v>
                </c:pt>
                <c:pt idx="97">
                  <c:v>27.174150588033115</c:v>
                </c:pt>
                <c:pt idx="98">
                  <c:v>27.077548853996518</c:v>
                </c:pt>
                <c:pt idx="99">
                  <c:v>26.970872101769487</c:v>
                </c:pt>
                <c:pt idx="100">
                  <c:v>26.853983323258376</c:v>
                </c:pt>
                <c:pt idx="101">
                  <c:v>26.726720065261816</c:v>
                </c:pt>
                <c:pt idx="102">
                  <c:v>26.588892492323737</c:v>
                </c:pt>
                <c:pt idx="103">
                  <c:v>26.440281069735192</c:v>
                </c:pt>
                <c:pt idx="104">
                  <c:v>26.28063380043784</c:v>
                </c:pt>
                <c:pt idx="105">
                  <c:v>26.109662932609751</c:v>
                </c:pt>
                <c:pt idx="106">
                  <c:v>25.927041032964155</c:v>
                </c:pt>
                <c:pt idx="107">
                  <c:v>25.732396292596491</c:v>
                </c:pt>
                <c:pt idx="108">
                  <c:v>25.52530689527299</c:v>
                </c:pt>
                <c:pt idx="109">
                  <c:v>25.305294229078356</c:v>
                </c:pt>
                <c:pt idx="110">
                  <c:v>25.0718146566428</c:v>
                </c:pt>
                <c:pt idx="111">
                  <c:v>24.824249469894937</c:v>
                </c:pt>
                <c:pt idx="112">
                  <c:v>24.561892532326681</c:v>
                </c:pt>
                <c:pt idx="113">
                  <c:v>24.283934939838275</c:v>
                </c:pt>
                <c:pt idx="114">
                  <c:v>23.989445786997919</c:v>
                </c:pt>
                <c:pt idx="115">
                  <c:v>23.677347772322321</c:v>
                </c:pt>
                <c:pt idx="116">
                  <c:v>23.346385855267044</c:v>
                </c:pt>
                <c:pt idx="117">
                  <c:v>22.995086392455676</c:v>
                </c:pt>
                <c:pt idx="118">
                  <c:v>22.621702968045895</c:v>
                </c:pt>
                <c:pt idx="119">
                  <c:v>22.224143208066153</c:v>
                </c:pt>
                <c:pt idx="120">
                  <c:v>21.799867715350217</c:v>
                </c:pt>
                <c:pt idx="121">
                  <c:v>21.345746907766397</c:v>
                </c:pt>
                <c:pt idx="122">
                  <c:v>20.857852064027668</c:v>
                </c:pt>
                <c:pt idx="123">
                  <c:v>20.331139254933646</c:v>
                </c:pt>
                <c:pt idx="124">
                  <c:v>19.758950070596086</c:v>
                </c:pt>
                <c:pt idx="125">
                  <c:v>19.132179361514943</c:v>
                </c:pt>
                <c:pt idx="126">
                  <c:v>18.437789263774675</c:v>
                </c:pt>
                <c:pt idx="127">
                  <c:v>17.655902913796183</c:v>
                </c:pt>
                <c:pt idx="128">
                  <c:v>16.753346358783347</c:v>
                </c:pt>
                <c:pt idx="129">
                  <c:v>15.666209781569421</c:v>
                </c:pt>
                <c:pt idx="130">
                  <c:v>14.232960682103226</c:v>
                </c:pt>
                <c:pt idx="131">
                  <c:v>11.298829668175415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</c:numCache>
            </c:numRef>
          </c:xVal>
          <c:yVal>
            <c:numRef>
              <c:f>'globale Grafik'!$M$8:$M$193</c:f>
              <c:numCache>
                <c:formatCode>0.00\°;[Red]0.00\°</c:formatCode>
                <c:ptCount val="186"/>
                <c:pt idx="0">
                  <c:v>56.214284919562225</c:v>
                </c:pt>
                <c:pt idx="1">
                  <c:v>56.214284919562225</c:v>
                </c:pt>
                <c:pt idx="2">
                  <c:v>55.88780241142296</c:v>
                </c:pt>
                <c:pt idx="3">
                  <c:v>55.504510882555373</c:v>
                </c:pt>
                <c:pt idx="4">
                  <c:v>55.121219353687785</c:v>
                </c:pt>
                <c:pt idx="5">
                  <c:v>54.737927824820197</c:v>
                </c:pt>
                <c:pt idx="6">
                  <c:v>54.354636295952609</c:v>
                </c:pt>
                <c:pt idx="7">
                  <c:v>53.971344767085021</c:v>
                </c:pt>
                <c:pt idx="8">
                  <c:v>53.588053238217434</c:v>
                </c:pt>
                <c:pt idx="9">
                  <c:v>53.204761709349846</c:v>
                </c:pt>
                <c:pt idx="10">
                  <c:v>52.821470180482258</c:v>
                </c:pt>
                <c:pt idx="11">
                  <c:v>52.43817865161467</c:v>
                </c:pt>
                <c:pt idx="12">
                  <c:v>52.054887122747083</c:v>
                </c:pt>
                <c:pt idx="13">
                  <c:v>51.671595593879495</c:v>
                </c:pt>
                <c:pt idx="14">
                  <c:v>51.288304065011907</c:v>
                </c:pt>
                <c:pt idx="15">
                  <c:v>50.905012536144319</c:v>
                </c:pt>
                <c:pt idx="16">
                  <c:v>50.521721007276732</c:v>
                </c:pt>
                <c:pt idx="17">
                  <c:v>50.138429478409144</c:v>
                </c:pt>
                <c:pt idx="18">
                  <c:v>49.755137949541556</c:v>
                </c:pt>
                <c:pt idx="19">
                  <c:v>49.371846420673968</c:v>
                </c:pt>
                <c:pt idx="20">
                  <c:v>48.98855489180638</c:v>
                </c:pt>
                <c:pt idx="21">
                  <c:v>48.605263362938793</c:v>
                </c:pt>
                <c:pt idx="22">
                  <c:v>48.221971834071205</c:v>
                </c:pt>
                <c:pt idx="23">
                  <c:v>47.838680305203617</c:v>
                </c:pt>
                <c:pt idx="24">
                  <c:v>47.455388776336029</c:v>
                </c:pt>
                <c:pt idx="25">
                  <c:v>47.072097247468442</c:v>
                </c:pt>
                <c:pt idx="26">
                  <c:v>46.688805718600854</c:v>
                </c:pt>
                <c:pt idx="27">
                  <c:v>46.305514189733266</c:v>
                </c:pt>
                <c:pt idx="28">
                  <c:v>45.922222660865678</c:v>
                </c:pt>
                <c:pt idx="29">
                  <c:v>45.538931131998091</c:v>
                </c:pt>
                <c:pt idx="30">
                  <c:v>45.155639603130503</c:v>
                </c:pt>
                <c:pt idx="31">
                  <c:v>44.772348074262915</c:v>
                </c:pt>
                <c:pt idx="32">
                  <c:v>44.389056545395327</c:v>
                </c:pt>
                <c:pt idx="33">
                  <c:v>44.005765016527739</c:v>
                </c:pt>
                <c:pt idx="34">
                  <c:v>43.622473487660152</c:v>
                </c:pt>
                <c:pt idx="35">
                  <c:v>43.239181958792564</c:v>
                </c:pt>
                <c:pt idx="36">
                  <c:v>42.855890429924976</c:v>
                </c:pt>
                <c:pt idx="37">
                  <c:v>42.472598901057388</c:v>
                </c:pt>
                <c:pt idx="38">
                  <c:v>42.089307372189801</c:v>
                </c:pt>
                <c:pt idx="39">
                  <c:v>41.706015843322213</c:v>
                </c:pt>
                <c:pt idx="40">
                  <c:v>41.322724314454625</c:v>
                </c:pt>
                <c:pt idx="41">
                  <c:v>40.939432785587037</c:v>
                </c:pt>
                <c:pt idx="42">
                  <c:v>40.556141256719449</c:v>
                </c:pt>
                <c:pt idx="43">
                  <c:v>40.172849727851862</c:v>
                </c:pt>
                <c:pt idx="44">
                  <c:v>39.789558198984274</c:v>
                </c:pt>
                <c:pt idx="45">
                  <c:v>39.406266670116686</c:v>
                </c:pt>
                <c:pt idx="46">
                  <c:v>39.022975141249098</c:v>
                </c:pt>
                <c:pt idx="47">
                  <c:v>38.639683612381511</c:v>
                </c:pt>
                <c:pt idx="48">
                  <c:v>38.256392083513923</c:v>
                </c:pt>
                <c:pt idx="49">
                  <c:v>37.873100554646335</c:v>
                </c:pt>
                <c:pt idx="50">
                  <c:v>37.489809025778747</c:v>
                </c:pt>
                <c:pt idx="51">
                  <c:v>37.10651749691116</c:v>
                </c:pt>
                <c:pt idx="52">
                  <c:v>36.723225968043572</c:v>
                </c:pt>
                <c:pt idx="53">
                  <c:v>36.339934439175984</c:v>
                </c:pt>
                <c:pt idx="54">
                  <c:v>35.956642910308396</c:v>
                </c:pt>
                <c:pt idx="55">
                  <c:v>35.573351381440808</c:v>
                </c:pt>
                <c:pt idx="56">
                  <c:v>35.190059852573221</c:v>
                </c:pt>
                <c:pt idx="57">
                  <c:v>34.806768323705633</c:v>
                </c:pt>
                <c:pt idx="58">
                  <c:v>34.423476794838045</c:v>
                </c:pt>
                <c:pt idx="59">
                  <c:v>34.040185265970457</c:v>
                </c:pt>
                <c:pt idx="60">
                  <c:v>33.65689373710287</c:v>
                </c:pt>
                <c:pt idx="61">
                  <c:v>33.273602208235282</c:v>
                </c:pt>
                <c:pt idx="62">
                  <c:v>32.890310679367694</c:v>
                </c:pt>
                <c:pt idx="63">
                  <c:v>32.507019150500106</c:v>
                </c:pt>
                <c:pt idx="64">
                  <c:v>32.123727621632518</c:v>
                </c:pt>
                <c:pt idx="65">
                  <c:v>31.740436092764931</c:v>
                </c:pt>
                <c:pt idx="66">
                  <c:v>31.357144563897343</c:v>
                </c:pt>
                <c:pt idx="67">
                  <c:v>30.973853035029755</c:v>
                </c:pt>
                <c:pt idx="68">
                  <c:v>30.590561506162167</c:v>
                </c:pt>
                <c:pt idx="69">
                  <c:v>30.20726997729458</c:v>
                </c:pt>
                <c:pt idx="70">
                  <c:v>29.823978448426992</c:v>
                </c:pt>
                <c:pt idx="71">
                  <c:v>29.440686919559404</c:v>
                </c:pt>
                <c:pt idx="72">
                  <c:v>29.057395390691816</c:v>
                </c:pt>
                <c:pt idx="73">
                  <c:v>28.674103861824229</c:v>
                </c:pt>
                <c:pt idx="74">
                  <c:v>28.290812332956641</c:v>
                </c:pt>
                <c:pt idx="75">
                  <c:v>27.907520804089053</c:v>
                </c:pt>
                <c:pt idx="76">
                  <c:v>27.524229275221465</c:v>
                </c:pt>
                <c:pt idx="77">
                  <c:v>27.140937746353877</c:v>
                </c:pt>
                <c:pt idx="78">
                  <c:v>26.75764621748629</c:v>
                </c:pt>
                <c:pt idx="79">
                  <c:v>26.374354688618702</c:v>
                </c:pt>
                <c:pt idx="80">
                  <c:v>25.991063159751114</c:v>
                </c:pt>
                <c:pt idx="81">
                  <c:v>25.607771630883526</c:v>
                </c:pt>
                <c:pt idx="82">
                  <c:v>25.224480102015939</c:v>
                </c:pt>
                <c:pt idx="83">
                  <c:v>24.841188573148351</c:v>
                </c:pt>
                <c:pt idx="84">
                  <c:v>24.457897044280763</c:v>
                </c:pt>
                <c:pt idx="85">
                  <c:v>24.074605515413175</c:v>
                </c:pt>
                <c:pt idx="86">
                  <c:v>23.691313986545588</c:v>
                </c:pt>
                <c:pt idx="87">
                  <c:v>23.308022457678</c:v>
                </c:pt>
                <c:pt idx="88">
                  <c:v>22.924730928810412</c:v>
                </c:pt>
                <c:pt idx="89">
                  <c:v>22.541439399942824</c:v>
                </c:pt>
                <c:pt idx="90">
                  <c:v>22.158147871075236</c:v>
                </c:pt>
                <c:pt idx="91">
                  <c:v>21.774856342207649</c:v>
                </c:pt>
                <c:pt idx="92">
                  <c:v>21.391564813340061</c:v>
                </c:pt>
                <c:pt idx="93">
                  <c:v>21.008273284472473</c:v>
                </c:pt>
                <c:pt idx="94">
                  <c:v>20.624981755604885</c:v>
                </c:pt>
                <c:pt idx="95">
                  <c:v>20.241690226737298</c:v>
                </c:pt>
                <c:pt idx="96">
                  <c:v>19.85839869786971</c:v>
                </c:pt>
                <c:pt idx="97">
                  <c:v>19.475107169002122</c:v>
                </c:pt>
                <c:pt idx="98">
                  <c:v>19.091815640134534</c:v>
                </c:pt>
                <c:pt idx="99">
                  <c:v>18.708524111266946</c:v>
                </c:pt>
                <c:pt idx="100">
                  <c:v>18.325232582399359</c:v>
                </c:pt>
                <c:pt idx="101">
                  <c:v>17.941941053531771</c:v>
                </c:pt>
                <c:pt idx="102">
                  <c:v>17.558649524664183</c:v>
                </c:pt>
                <c:pt idx="103">
                  <c:v>17.175357995796595</c:v>
                </c:pt>
                <c:pt idx="104">
                  <c:v>16.792066466929008</c:v>
                </c:pt>
                <c:pt idx="105">
                  <c:v>16.40877493806142</c:v>
                </c:pt>
                <c:pt idx="106">
                  <c:v>16.025483409193832</c:v>
                </c:pt>
                <c:pt idx="107">
                  <c:v>15.642191880326244</c:v>
                </c:pt>
                <c:pt idx="108">
                  <c:v>15.258900351458657</c:v>
                </c:pt>
                <c:pt idx="109">
                  <c:v>14.875608822591069</c:v>
                </c:pt>
                <c:pt idx="110">
                  <c:v>14.492317293723481</c:v>
                </c:pt>
                <c:pt idx="111">
                  <c:v>14.109025764855893</c:v>
                </c:pt>
                <c:pt idx="112">
                  <c:v>13.725734235988305</c:v>
                </c:pt>
                <c:pt idx="113">
                  <c:v>13.342442707120718</c:v>
                </c:pt>
                <c:pt idx="114">
                  <c:v>12.95915117825313</c:v>
                </c:pt>
                <c:pt idx="115">
                  <c:v>12.575859649385542</c:v>
                </c:pt>
                <c:pt idx="116">
                  <c:v>12.192568120517954</c:v>
                </c:pt>
                <c:pt idx="117">
                  <c:v>11.809276591650367</c:v>
                </c:pt>
                <c:pt idx="118">
                  <c:v>11.425985062782779</c:v>
                </c:pt>
                <c:pt idx="119">
                  <c:v>11.042693533915191</c:v>
                </c:pt>
                <c:pt idx="120">
                  <c:v>10.659402005047603</c:v>
                </c:pt>
                <c:pt idx="121">
                  <c:v>10.276110476180015</c:v>
                </c:pt>
                <c:pt idx="122">
                  <c:v>9.8928189473124277</c:v>
                </c:pt>
                <c:pt idx="123">
                  <c:v>9.50952741844484</c:v>
                </c:pt>
                <c:pt idx="124">
                  <c:v>9.1262358895772522</c:v>
                </c:pt>
                <c:pt idx="125">
                  <c:v>8.7429443607096644</c:v>
                </c:pt>
                <c:pt idx="126">
                  <c:v>8.3596528318420766</c:v>
                </c:pt>
                <c:pt idx="127">
                  <c:v>7.976361302974488</c:v>
                </c:pt>
                <c:pt idx="128">
                  <c:v>7.5930697741068993</c:v>
                </c:pt>
                <c:pt idx="129">
                  <c:v>7.2097782452393107</c:v>
                </c:pt>
                <c:pt idx="130">
                  <c:v>6.826486716371722</c:v>
                </c:pt>
                <c:pt idx="131">
                  <c:v>6.4431951875041333</c:v>
                </c:pt>
                <c:pt idx="132">
                  <c:v>6.0599036586365447</c:v>
                </c:pt>
                <c:pt idx="133">
                  <c:v>5.676612129768956</c:v>
                </c:pt>
                <c:pt idx="134">
                  <c:v>5.2933206009013674</c:v>
                </c:pt>
                <c:pt idx="135">
                  <c:v>4.9100290720337787</c:v>
                </c:pt>
                <c:pt idx="136">
                  <c:v>4.52673754316619</c:v>
                </c:pt>
                <c:pt idx="137">
                  <c:v>4.1434460142986014</c:v>
                </c:pt>
                <c:pt idx="138">
                  <c:v>3.7601544854310132</c:v>
                </c:pt>
                <c:pt idx="139">
                  <c:v>3.3768629565634249</c:v>
                </c:pt>
                <c:pt idx="140">
                  <c:v>2.9935714276958367</c:v>
                </c:pt>
                <c:pt idx="141">
                  <c:v>2.6102798988282485</c:v>
                </c:pt>
                <c:pt idx="142">
                  <c:v>2.2269883699606603</c:v>
                </c:pt>
                <c:pt idx="143">
                  <c:v>1.8436968410930721</c:v>
                </c:pt>
                <c:pt idx="144">
                  <c:v>1.4604053122254839</c:v>
                </c:pt>
                <c:pt idx="145">
                  <c:v>1.0771137833578956</c:v>
                </c:pt>
                <c:pt idx="146">
                  <c:v>0.69382225449030743</c:v>
                </c:pt>
                <c:pt idx="147">
                  <c:v>0.31053072562271916</c:v>
                </c:pt>
                <c:pt idx="148">
                  <c:v>-7.276080324486911E-2</c:v>
                </c:pt>
                <c:pt idx="149">
                  <c:v>-0.45605233211245738</c:v>
                </c:pt>
                <c:pt idx="150">
                  <c:v>-0.83934386098004565</c:v>
                </c:pt>
                <c:pt idx="151">
                  <c:v>-1.2226353898476339</c:v>
                </c:pt>
                <c:pt idx="152">
                  <c:v>-1.6059269187152221</c:v>
                </c:pt>
                <c:pt idx="153">
                  <c:v>-1.9892184475828103</c:v>
                </c:pt>
                <c:pt idx="154">
                  <c:v>-2.3725099764503987</c:v>
                </c:pt>
                <c:pt idx="155">
                  <c:v>-2.755801505317987</c:v>
                </c:pt>
                <c:pt idx="156">
                  <c:v>-3.1390930341855752</c:v>
                </c:pt>
                <c:pt idx="157">
                  <c:v>-3.5223845630531634</c:v>
                </c:pt>
                <c:pt idx="158">
                  <c:v>-3.9056760919207516</c:v>
                </c:pt>
                <c:pt idx="159">
                  <c:v>-4.2889676207883403</c:v>
                </c:pt>
                <c:pt idx="160">
                  <c:v>-4.6722591496559289</c:v>
                </c:pt>
                <c:pt idx="161">
                  <c:v>-5.0555506785235176</c:v>
                </c:pt>
                <c:pt idx="162">
                  <c:v>-5.4388422073911062</c:v>
                </c:pt>
                <c:pt idx="163">
                  <c:v>-5.8221337362586949</c:v>
                </c:pt>
                <c:pt idx="164">
                  <c:v>-6.2054252651262836</c:v>
                </c:pt>
                <c:pt idx="165">
                  <c:v>-6.5887167939938722</c:v>
                </c:pt>
                <c:pt idx="166">
                  <c:v>-6.9720083228614609</c:v>
                </c:pt>
                <c:pt idx="167">
                  <c:v>-7.3552998517290495</c:v>
                </c:pt>
                <c:pt idx="168">
                  <c:v>-7.7385913805966382</c:v>
                </c:pt>
                <c:pt idx="169">
                  <c:v>-8.121882909464226</c:v>
                </c:pt>
                <c:pt idx="170">
                  <c:v>-8.5051744383318137</c:v>
                </c:pt>
                <c:pt idx="171">
                  <c:v>-8.8884659671994015</c:v>
                </c:pt>
                <c:pt idx="172">
                  <c:v>-9.2717574960669893</c:v>
                </c:pt>
                <c:pt idx="173">
                  <c:v>-9.6550490249345771</c:v>
                </c:pt>
                <c:pt idx="174">
                  <c:v>-10.038340553802165</c:v>
                </c:pt>
                <c:pt idx="175">
                  <c:v>-10.421632082669753</c:v>
                </c:pt>
                <c:pt idx="176">
                  <c:v>-10.80492361153734</c:v>
                </c:pt>
                <c:pt idx="177">
                  <c:v>-11.188215140404928</c:v>
                </c:pt>
                <c:pt idx="178">
                  <c:v>-11.571506669272516</c:v>
                </c:pt>
                <c:pt idx="179">
                  <c:v>-11.941054662610044</c:v>
                </c:pt>
                <c:pt idx="180">
                  <c:v>-11.941054662610044</c:v>
                </c:pt>
                <c:pt idx="181">
                  <c:v>-11.941054662610044</c:v>
                </c:pt>
                <c:pt idx="182">
                  <c:v>-11.941054662610044</c:v>
                </c:pt>
                <c:pt idx="183">
                  <c:v>-11.941054662610044</c:v>
                </c:pt>
                <c:pt idx="184">
                  <c:v>-11.941054662610044</c:v>
                </c:pt>
                <c:pt idx="185">
                  <c:v>-11.941054662610044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7899-5649-96E2-64AEA5682F16}"/>
            </c:ext>
          </c:extLst>
        </c:ser>
        <c:ser>
          <c:idx val="3"/>
          <c:order val="3"/>
          <c:spPr>
            <a:ln w="25400" cap="rnd">
              <a:solidFill>
                <a:srgbClr val="FFA1A3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'globale Grafik'!$V$8:$V$193</c:f>
              <c:numCache>
                <c:formatCode>0.00</c:formatCode>
                <c:ptCount val="18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10.126700027215406</c:v>
                </c:pt>
                <c:pt idx="50">
                  <c:v>6.5603248177484375</c:v>
                </c:pt>
                <c:pt idx="51">
                  <c:v>4.9581185696497414</c:v>
                </c:pt>
                <c:pt idx="52">
                  <c:v>3.7584410738332394</c:v>
                </c:pt>
                <c:pt idx="53">
                  <c:v>2.7731132685137254</c:v>
                </c:pt>
                <c:pt idx="54">
                  <c:v>1.9281892225999968</c:v>
                </c:pt>
                <c:pt idx="55">
                  <c:v>1.1853279244481314</c:v>
                </c:pt>
                <c:pt idx="56">
                  <c:v>0.52153363396297436</c:v>
                </c:pt>
                <c:pt idx="57">
                  <c:v>-7.8308937728820638E-2</c:v>
                </c:pt>
                <c:pt idx="58">
                  <c:v>-0.62478524136832903</c:v>
                </c:pt>
                <c:pt idx="59">
                  <c:v>-1.1256617354327432</c:v>
                </c:pt>
                <c:pt idx="60">
                  <c:v>-1.5868435073145406</c:v>
                </c:pt>
                <c:pt idx="61">
                  <c:v>-2.0129486822353897</c:v>
                </c:pt>
                <c:pt idx="62">
                  <c:v>-2.4076721401158352</c:v>
                </c:pt>
                <c:pt idx="63">
                  <c:v>-2.7740260877572496</c:v>
                </c:pt>
                <c:pt idx="64">
                  <c:v>-3.1145049984861544</c:v>
                </c:pt>
                <c:pt idx="65">
                  <c:v>-3.4312021535049553</c:v>
                </c:pt>
                <c:pt idx="66">
                  <c:v>-3.7258941221650161</c:v>
                </c:pt>
                <c:pt idx="67">
                  <c:v>-4.000103365844268</c:v>
                </c:pt>
                <c:pt idx="68">
                  <c:v>-4.2551455275309422</c:v>
                </c:pt>
                <c:pt idx="69">
                  <c:v>-4.4921657578892678</c:v>
                </c:pt>
                <c:pt idx="70">
                  <c:v>-4.7121670356624463</c:v>
                </c:pt>
                <c:pt idx="71">
                  <c:v>-4.9160325383170402</c:v>
                </c:pt>
                <c:pt idx="72">
                  <c:v>-5.1045435203421903</c:v>
                </c:pt>
                <c:pt idx="73">
                  <c:v>-5.2783937507203973</c:v>
                </c:pt>
                <c:pt idx="74">
                  <c:v>-5.4382012803563384</c:v>
                </c:pt>
                <c:pt idx="75">
                  <c:v>-5.5845181126039165</c:v>
                </c:pt>
                <c:pt idx="76">
                  <c:v>-5.7178382086232773</c:v>
                </c:pt>
                <c:pt idx="77">
                  <c:v>-5.838604156609847</c:v>
                </c:pt>
                <c:pt idx="78">
                  <c:v>-5.9472127583482575</c:v>
                </c:pt>
                <c:pt idx="79">
                  <c:v>-6.0440197301914509</c:v>
                </c:pt>
                <c:pt idx="80">
                  <c:v>-6.1293436730534836</c:v>
                </c:pt>
                <c:pt idx="81">
                  <c:v>-6.2034694335717404</c:v>
                </c:pt>
                <c:pt idx="82">
                  <c:v>-6.2666509535838486</c:v>
                </c:pt>
                <c:pt idx="83">
                  <c:v>-6.3191136855722903</c:v>
                </c:pt>
                <c:pt idx="84">
                  <c:v>-6.3610566363770431</c:v>
                </c:pt>
                <c:pt idx="85">
                  <c:v>-6.3926540892516641</c:v>
                </c:pt>
                <c:pt idx="86">
                  <c:v>-6.4140570444938589</c:v>
                </c:pt>
                <c:pt idx="87">
                  <c:v>-6.4253944108422729</c:v>
                </c:pt>
                <c:pt idx="88">
                  <c:v>-6.4267739731861866</c:v>
                </c:pt>
                <c:pt idx="89">
                  <c:v>-6.4182831565277638</c:v>
                </c:pt>
                <c:pt idx="90">
                  <c:v>-6.3999896013293665</c:v>
                </c:pt>
                <c:pt idx="91">
                  <c:v>-6.3719415611372483</c:v>
                </c:pt>
                <c:pt idx="92">
                  <c:v>-6.3341681295427748</c:v>
                </c:pt>
                <c:pt idx="93">
                  <c:v>-6.2866792999535619</c:v>
                </c:pt>
                <c:pt idx="94">
                  <c:v>-6.2294658581752174</c:v>
                </c:pt>
                <c:pt idx="95">
                  <c:v>-6.16249910431236</c:v>
                </c:pt>
                <c:pt idx="96">
                  <c:v>-6.0857303968540464</c:v>
                </c:pt>
                <c:pt idx="97">
                  <c:v>-5.9990905078667538</c:v>
                </c:pt>
                <c:pt idx="98">
                  <c:v>-5.9024887738301004</c:v>
                </c:pt>
                <c:pt idx="99">
                  <c:v>-5.7958120216031261</c:v>
                </c:pt>
                <c:pt idx="100">
                  <c:v>-5.6789232430919583</c:v>
                </c:pt>
                <c:pt idx="101">
                  <c:v>-5.551659985095398</c:v>
                </c:pt>
                <c:pt idx="102">
                  <c:v>-5.413832412157376</c:v>
                </c:pt>
                <c:pt idx="103">
                  <c:v>-5.2652209895688316</c:v>
                </c:pt>
                <c:pt idx="104">
                  <c:v>-5.1055737202714795</c:v>
                </c:pt>
                <c:pt idx="105">
                  <c:v>-4.9346028524433905</c:v>
                </c:pt>
                <c:pt idx="106">
                  <c:v>-4.7519809527977372</c:v>
                </c:pt>
                <c:pt idx="107">
                  <c:v>-4.5573362124300729</c:v>
                </c:pt>
                <c:pt idx="108">
                  <c:v>-4.3502468151065727</c:v>
                </c:pt>
                <c:pt idx="109">
                  <c:v>-4.1302341489119954</c:v>
                </c:pt>
                <c:pt idx="110">
                  <c:v>-3.8967545764763827</c:v>
                </c:pt>
                <c:pt idx="111">
                  <c:v>-3.6491893897285195</c:v>
                </c:pt>
                <c:pt idx="112">
                  <c:v>-3.3868324521603199</c:v>
                </c:pt>
                <c:pt idx="113">
                  <c:v>-3.1088748596719142</c:v>
                </c:pt>
                <c:pt idx="114">
                  <c:v>-2.8143857068315583</c:v>
                </c:pt>
                <c:pt idx="115">
                  <c:v>-2.5022876921559032</c:v>
                </c:pt>
                <c:pt idx="116">
                  <c:v>-2.1713257751006836</c:v>
                </c:pt>
                <c:pt idx="117">
                  <c:v>-1.8200263122893148</c:v>
                </c:pt>
                <c:pt idx="118">
                  <c:v>-1.4466428878795341</c:v>
                </c:pt>
                <c:pt idx="119">
                  <c:v>-1.0490831278997916</c:v>
                </c:pt>
                <c:pt idx="120">
                  <c:v>-0.62480763518385629</c:v>
                </c:pt>
                <c:pt idx="121">
                  <c:v>-0.17068682760003639</c:v>
                </c:pt>
                <c:pt idx="122">
                  <c:v>0.31720801613874983</c:v>
                </c:pt>
                <c:pt idx="123">
                  <c:v>0.84392082523277168</c:v>
                </c:pt>
                <c:pt idx="124">
                  <c:v>1.4161100095703318</c:v>
                </c:pt>
                <c:pt idx="125">
                  <c:v>2.0428807186514177</c:v>
                </c:pt>
                <c:pt idx="126">
                  <c:v>2.7372708163917423</c:v>
                </c:pt>
                <c:pt idx="127">
                  <c:v>3.5191571663702348</c:v>
                </c:pt>
                <c:pt idx="128">
                  <c:v>4.4217137213830711</c:v>
                </c:pt>
                <c:pt idx="129">
                  <c:v>5.5088502985969967</c:v>
                </c:pt>
                <c:pt idx="130">
                  <c:v>6.942099398063192</c:v>
                </c:pt>
                <c:pt idx="131">
                  <c:v>9.8762304119909459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</c:numCache>
            </c:numRef>
          </c:xVal>
          <c:yVal>
            <c:numRef>
              <c:f>'globale Grafik'!$M$8:$M$193</c:f>
              <c:numCache>
                <c:formatCode>0.00\°;[Red]0.00\°</c:formatCode>
                <c:ptCount val="186"/>
                <c:pt idx="0">
                  <c:v>56.214284919562225</c:v>
                </c:pt>
                <c:pt idx="1">
                  <c:v>56.214284919562225</c:v>
                </c:pt>
                <c:pt idx="2">
                  <c:v>55.88780241142296</c:v>
                </c:pt>
                <c:pt idx="3">
                  <c:v>55.504510882555373</c:v>
                </c:pt>
                <c:pt idx="4">
                  <c:v>55.121219353687785</c:v>
                </c:pt>
                <c:pt idx="5">
                  <c:v>54.737927824820197</c:v>
                </c:pt>
                <c:pt idx="6">
                  <c:v>54.354636295952609</c:v>
                </c:pt>
                <c:pt idx="7">
                  <c:v>53.971344767085021</c:v>
                </c:pt>
                <c:pt idx="8">
                  <c:v>53.588053238217434</c:v>
                </c:pt>
                <c:pt idx="9">
                  <c:v>53.204761709349846</c:v>
                </c:pt>
                <c:pt idx="10">
                  <c:v>52.821470180482258</c:v>
                </c:pt>
                <c:pt idx="11">
                  <c:v>52.43817865161467</c:v>
                </c:pt>
                <c:pt idx="12">
                  <c:v>52.054887122747083</c:v>
                </c:pt>
                <c:pt idx="13">
                  <c:v>51.671595593879495</c:v>
                </c:pt>
                <c:pt idx="14">
                  <c:v>51.288304065011907</c:v>
                </c:pt>
                <c:pt idx="15">
                  <c:v>50.905012536144319</c:v>
                </c:pt>
                <c:pt idx="16">
                  <c:v>50.521721007276732</c:v>
                </c:pt>
                <c:pt idx="17">
                  <c:v>50.138429478409144</c:v>
                </c:pt>
                <c:pt idx="18">
                  <c:v>49.755137949541556</c:v>
                </c:pt>
                <c:pt idx="19">
                  <c:v>49.371846420673968</c:v>
                </c:pt>
                <c:pt idx="20">
                  <c:v>48.98855489180638</c:v>
                </c:pt>
                <c:pt idx="21">
                  <c:v>48.605263362938793</c:v>
                </c:pt>
                <c:pt idx="22">
                  <c:v>48.221971834071205</c:v>
                </c:pt>
                <c:pt idx="23">
                  <c:v>47.838680305203617</c:v>
                </c:pt>
                <c:pt idx="24">
                  <c:v>47.455388776336029</c:v>
                </c:pt>
                <c:pt idx="25">
                  <c:v>47.072097247468442</c:v>
                </c:pt>
                <c:pt idx="26">
                  <c:v>46.688805718600854</c:v>
                </c:pt>
                <c:pt idx="27">
                  <c:v>46.305514189733266</c:v>
                </c:pt>
                <c:pt idx="28">
                  <c:v>45.922222660865678</c:v>
                </c:pt>
                <c:pt idx="29">
                  <c:v>45.538931131998091</c:v>
                </c:pt>
                <c:pt idx="30">
                  <c:v>45.155639603130503</c:v>
                </c:pt>
                <c:pt idx="31">
                  <c:v>44.772348074262915</c:v>
                </c:pt>
                <c:pt idx="32">
                  <c:v>44.389056545395327</c:v>
                </c:pt>
                <c:pt idx="33">
                  <c:v>44.005765016527739</c:v>
                </c:pt>
                <c:pt idx="34">
                  <c:v>43.622473487660152</c:v>
                </c:pt>
                <c:pt idx="35">
                  <c:v>43.239181958792564</c:v>
                </c:pt>
                <c:pt idx="36">
                  <c:v>42.855890429924976</c:v>
                </c:pt>
                <c:pt idx="37">
                  <c:v>42.472598901057388</c:v>
                </c:pt>
                <c:pt idx="38">
                  <c:v>42.089307372189801</c:v>
                </c:pt>
                <c:pt idx="39">
                  <c:v>41.706015843322213</c:v>
                </c:pt>
                <c:pt idx="40">
                  <c:v>41.322724314454625</c:v>
                </c:pt>
                <c:pt idx="41">
                  <c:v>40.939432785587037</c:v>
                </c:pt>
                <c:pt idx="42">
                  <c:v>40.556141256719449</c:v>
                </c:pt>
                <c:pt idx="43">
                  <c:v>40.172849727851862</c:v>
                </c:pt>
                <c:pt idx="44">
                  <c:v>39.789558198984274</c:v>
                </c:pt>
                <c:pt idx="45">
                  <c:v>39.406266670116686</c:v>
                </c:pt>
                <c:pt idx="46">
                  <c:v>39.022975141249098</c:v>
                </c:pt>
                <c:pt idx="47">
                  <c:v>38.639683612381511</c:v>
                </c:pt>
                <c:pt idx="48">
                  <c:v>38.256392083513923</c:v>
                </c:pt>
                <c:pt idx="49">
                  <c:v>37.873100554646335</c:v>
                </c:pt>
                <c:pt idx="50">
                  <c:v>37.489809025778747</c:v>
                </c:pt>
                <c:pt idx="51">
                  <c:v>37.10651749691116</c:v>
                </c:pt>
                <c:pt idx="52">
                  <c:v>36.723225968043572</c:v>
                </c:pt>
                <c:pt idx="53">
                  <c:v>36.339934439175984</c:v>
                </c:pt>
                <c:pt idx="54">
                  <c:v>35.956642910308396</c:v>
                </c:pt>
                <c:pt idx="55">
                  <c:v>35.573351381440808</c:v>
                </c:pt>
                <c:pt idx="56">
                  <c:v>35.190059852573221</c:v>
                </c:pt>
                <c:pt idx="57">
                  <c:v>34.806768323705633</c:v>
                </c:pt>
                <c:pt idx="58">
                  <c:v>34.423476794838045</c:v>
                </c:pt>
                <c:pt idx="59">
                  <c:v>34.040185265970457</c:v>
                </c:pt>
                <c:pt idx="60">
                  <c:v>33.65689373710287</c:v>
                </c:pt>
                <c:pt idx="61">
                  <c:v>33.273602208235282</c:v>
                </c:pt>
                <c:pt idx="62">
                  <c:v>32.890310679367694</c:v>
                </c:pt>
                <c:pt idx="63">
                  <c:v>32.507019150500106</c:v>
                </c:pt>
                <c:pt idx="64">
                  <c:v>32.123727621632518</c:v>
                </c:pt>
                <c:pt idx="65">
                  <c:v>31.740436092764931</c:v>
                </c:pt>
                <c:pt idx="66">
                  <c:v>31.357144563897343</c:v>
                </c:pt>
                <c:pt idx="67">
                  <c:v>30.973853035029755</c:v>
                </c:pt>
                <c:pt idx="68">
                  <c:v>30.590561506162167</c:v>
                </c:pt>
                <c:pt idx="69">
                  <c:v>30.20726997729458</c:v>
                </c:pt>
                <c:pt idx="70">
                  <c:v>29.823978448426992</c:v>
                </c:pt>
                <c:pt idx="71">
                  <c:v>29.440686919559404</c:v>
                </c:pt>
                <c:pt idx="72">
                  <c:v>29.057395390691816</c:v>
                </c:pt>
                <c:pt idx="73">
                  <c:v>28.674103861824229</c:v>
                </c:pt>
                <c:pt idx="74">
                  <c:v>28.290812332956641</c:v>
                </c:pt>
                <c:pt idx="75">
                  <c:v>27.907520804089053</c:v>
                </c:pt>
                <c:pt idx="76">
                  <c:v>27.524229275221465</c:v>
                </c:pt>
                <c:pt idx="77">
                  <c:v>27.140937746353877</c:v>
                </c:pt>
                <c:pt idx="78">
                  <c:v>26.75764621748629</c:v>
                </c:pt>
                <c:pt idx="79">
                  <c:v>26.374354688618702</c:v>
                </c:pt>
                <c:pt idx="80">
                  <c:v>25.991063159751114</c:v>
                </c:pt>
                <c:pt idx="81">
                  <c:v>25.607771630883526</c:v>
                </c:pt>
                <c:pt idx="82">
                  <c:v>25.224480102015939</c:v>
                </c:pt>
                <c:pt idx="83">
                  <c:v>24.841188573148351</c:v>
                </c:pt>
                <c:pt idx="84">
                  <c:v>24.457897044280763</c:v>
                </c:pt>
                <c:pt idx="85">
                  <c:v>24.074605515413175</c:v>
                </c:pt>
                <c:pt idx="86">
                  <c:v>23.691313986545588</c:v>
                </c:pt>
                <c:pt idx="87">
                  <c:v>23.308022457678</c:v>
                </c:pt>
                <c:pt idx="88">
                  <c:v>22.924730928810412</c:v>
                </c:pt>
                <c:pt idx="89">
                  <c:v>22.541439399942824</c:v>
                </c:pt>
                <c:pt idx="90">
                  <c:v>22.158147871075236</c:v>
                </c:pt>
                <c:pt idx="91">
                  <c:v>21.774856342207649</c:v>
                </c:pt>
                <c:pt idx="92">
                  <c:v>21.391564813340061</c:v>
                </c:pt>
                <c:pt idx="93">
                  <c:v>21.008273284472473</c:v>
                </c:pt>
                <c:pt idx="94">
                  <c:v>20.624981755604885</c:v>
                </c:pt>
                <c:pt idx="95">
                  <c:v>20.241690226737298</c:v>
                </c:pt>
                <c:pt idx="96">
                  <c:v>19.85839869786971</c:v>
                </c:pt>
                <c:pt idx="97">
                  <c:v>19.475107169002122</c:v>
                </c:pt>
                <c:pt idx="98">
                  <c:v>19.091815640134534</c:v>
                </c:pt>
                <c:pt idx="99">
                  <c:v>18.708524111266946</c:v>
                </c:pt>
                <c:pt idx="100">
                  <c:v>18.325232582399359</c:v>
                </c:pt>
                <c:pt idx="101">
                  <c:v>17.941941053531771</c:v>
                </c:pt>
                <c:pt idx="102">
                  <c:v>17.558649524664183</c:v>
                </c:pt>
                <c:pt idx="103">
                  <c:v>17.175357995796595</c:v>
                </c:pt>
                <c:pt idx="104">
                  <c:v>16.792066466929008</c:v>
                </c:pt>
                <c:pt idx="105">
                  <c:v>16.40877493806142</c:v>
                </c:pt>
                <c:pt idx="106">
                  <c:v>16.025483409193832</c:v>
                </c:pt>
                <c:pt idx="107">
                  <c:v>15.642191880326244</c:v>
                </c:pt>
                <c:pt idx="108">
                  <c:v>15.258900351458657</c:v>
                </c:pt>
                <c:pt idx="109">
                  <c:v>14.875608822591069</c:v>
                </c:pt>
                <c:pt idx="110">
                  <c:v>14.492317293723481</c:v>
                </c:pt>
                <c:pt idx="111">
                  <c:v>14.109025764855893</c:v>
                </c:pt>
                <c:pt idx="112">
                  <c:v>13.725734235988305</c:v>
                </c:pt>
                <c:pt idx="113">
                  <c:v>13.342442707120718</c:v>
                </c:pt>
                <c:pt idx="114">
                  <c:v>12.95915117825313</c:v>
                </c:pt>
                <c:pt idx="115">
                  <c:v>12.575859649385542</c:v>
                </c:pt>
                <c:pt idx="116">
                  <c:v>12.192568120517954</c:v>
                </c:pt>
                <c:pt idx="117">
                  <c:v>11.809276591650367</c:v>
                </c:pt>
                <c:pt idx="118">
                  <c:v>11.425985062782779</c:v>
                </c:pt>
                <c:pt idx="119">
                  <c:v>11.042693533915191</c:v>
                </c:pt>
                <c:pt idx="120">
                  <c:v>10.659402005047603</c:v>
                </c:pt>
                <c:pt idx="121">
                  <c:v>10.276110476180015</c:v>
                </c:pt>
                <c:pt idx="122">
                  <c:v>9.8928189473124277</c:v>
                </c:pt>
                <c:pt idx="123">
                  <c:v>9.50952741844484</c:v>
                </c:pt>
                <c:pt idx="124">
                  <c:v>9.1262358895772522</c:v>
                </c:pt>
                <c:pt idx="125">
                  <c:v>8.7429443607096644</c:v>
                </c:pt>
                <c:pt idx="126">
                  <c:v>8.3596528318420766</c:v>
                </c:pt>
                <c:pt idx="127">
                  <c:v>7.976361302974488</c:v>
                </c:pt>
                <c:pt idx="128">
                  <c:v>7.5930697741068993</c:v>
                </c:pt>
                <c:pt idx="129">
                  <c:v>7.2097782452393107</c:v>
                </c:pt>
                <c:pt idx="130">
                  <c:v>6.826486716371722</c:v>
                </c:pt>
                <c:pt idx="131">
                  <c:v>6.4431951875041333</c:v>
                </c:pt>
                <c:pt idx="132">
                  <c:v>6.0599036586365447</c:v>
                </c:pt>
                <c:pt idx="133">
                  <c:v>5.676612129768956</c:v>
                </c:pt>
                <c:pt idx="134">
                  <c:v>5.2933206009013674</c:v>
                </c:pt>
                <c:pt idx="135">
                  <c:v>4.9100290720337787</c:v>
                </c:pt>
                <c:pt idx="136">
                  <c:v>4.52673754316619</c:v>
                </c:pt>
                <c:pt idx="137">
                  <c:v>4.1434460142986014</c:v>
                </c:pt>
                <c:pt idx="138">
                  <c:v>3.7601544854310132</c:v>
                </c:pt>
                <c:pt idx="139">
                  <c:v>3.3768629565634249</c:v>
                </c:pt>
                <c:pt idx="140">
                  <c:v>2.9935714276958367</c:v>
                </c:pt>
                <c:pt idx="141">
                  <c:v>2.6102798988282485</c:v>
                </c:pt>
                <c:pt idx="142">
                  <c:v>2.2269883699606603</c:v>
                </c:pt>
                <c:pt idx="143">
                  <c:v>1.8436968410930721</c:v>
                </c:pt>
                <c:pt idx="144">
                  <c:v>1.4604053122254839</c:v>
                </c:pt>
                <c:pt idx="145">
                  <c:v>1.0771137833578956</c:v>
                </c:pt>
                <c:pt idx="146">
                  <c:v>0.69382225449030743</c:v>
                </c:pt>
                <c:pt idx="147">
                  <c:v>0.31053072562271916</c:v>
                </c:pt>
                <c:pt idx="148">
                  <c:v>-7.276080324486911E-2</c:v>
                </c:pt>
                <c:pt idx="149">
                  <c:v>-0.45605233211245738</c:v>
                </c:pt>
                <c:pt idx="150">
                  <c:v>-0.83934386098004565</c:v>
                </c:pt>
                <c:pt idx="151">
                  <c:v>-1.2226353898476339</c:v>
                </c:pt>
                <c:pt idx="152">
                  <c:v>-1.6059269187152221</c:v>
                </c:pt>
                <c:pt idx="153">
                  <c:v>-1.9892184475828103</c:v>
                </c:pt>
                <c:pt idx="154">
                  <c:v>-2.3725099764503987</c:v>
                </c:pt>
                <c:pt idx="155">
                  <c:v>-2.755801505317987</c:v>
                </c:pt>
                <c:pt idx="156">
                  <c:v>-3.1390930341855752</c:v>
                </c:pt>
                <c:pt idx="157">
                  <c:v>-3.5223845630531634</c:v>
                </c:pt>
                <c:pt idx="158">
                  <c:v>-3.9056760919207516</c:v>
                </c:pt>
                <c:pt idx="159">
                  <c:v>-4.2889676207883403</c:v>
                </c:pt>
                <c:pt idx="160">
                  <c:v>-4.6722591496559289</c:v>
                </c:pt>
                <c:pt idx="161">
                  <c:v>-5.0555506785235176</c:v>
                </c:pt>
                <c:pt idx="162">
                  <c:v>-5.4388422073911062</c:v>
                </c:pt>
                <c:pt idx="163">
                  <c:v>-5.8221337362586949</c:v>
                </c:pt>
                <c:pt idx="164">
                  <c:v>-6.2054252651262836</c:v>
                </c:pt>
                <c:pt idx="165">
                  <c:v>-6.5887167939938722</c:v>
                </c:pt>
                <c:pt idx="166">
                  <c:v>-6.9720083228614609</c:v>
                </c:pt>
                <c:pt idx="167">
                  <c:v>-7.3552998517290495</c:v>
                </c:pt>
                <c:pt idx="168">
                  <c:v>-7.7385913805966382</c:v>
                </c:pt>
                <c:pt idx="169">
                  <c:v>-8.121882909464226</c:v>
                </c:pt>
                <c:pt idx="170">
                  <c:v>-8.5051744383318137</c:v>
                </c:pt>
                <c:pt idx="171">
                  <c:v>-8.8884659671994015</c:v>
                </c:pt>
                <c:pt idx="172">
                  <c:v>-9.2717574960669893</c:v>
                </c:pt>
                <c:pt idx="173">
                  <c:v>-9.6550490249345771</c:v>
                </c:pt>
                <c:pt idx="174">
                  <c:v>-10.038340553802165</c:v>
                </c:pt>
                <c:pt idx="175">
                  <c:v>-10.421632082669753</c:v>
                </c:pt>
                <c:pt idx="176">
                  <c:v>-10.80492361153734</c:v>
                </c:pt>
                <c:pt idx="177">
                  <c:v>-11.188215140404928</c:v>
                </c:pt>
                <c:pt idx="178">
                  <c:v>-11.571506669272516</c:v>
                </c:pt>
                <c:pt idx="179">
                  <c:v>-11.941054662610044</c:v>
                </c:pt>
                <c:pt idx="180">
                  <c:v>-11.941054662610044</c:v>
                </c:pt>
                <c:pt idx="181">
                  <c:v>-11.941054662610044</c:v>
                </c:pt>
                <c:pt idx="182">
                  <c:v>-11.941054662610044</c:v>
                </c:pt>
                <c:pt idx="183">
                  <c:v>-11.941054662610044</c:v>
                </c:pt>
                <c:pt idx="184">
                  <c:v>-11.941054662610044</c:v>
                </c:pt>
                <c:pt idx="185">
                  <c:v>-11.941054662610044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899-5649-96E2-64AEA5682F16}"/>
            </c:ext>
          </c:extLst>
        </c:ser>
        <c:ser>
          <c:idx val="4"/>
          <c:order val="4"/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Pt>
            <c:idx val="186"/>
            <c:marker>
              <c:symbol val="circle"/>
              <c:size val="10"/>
              <c:spPr>
                <a:noFill/>
                <a:ln w="19050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4445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899-5649-96E2-64AEA5682F16}"/>
              </c:ext>
            </c:extLst>
          </c:dPt>
          <c:dLbls>
            <c:dLbl>
              <c:idx val="186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Helvetica Neue" panose="02000503000000020004" pitchFamily="2" charset="0"/>
                        <a:ea typeface="Helvetica Neue" panose="02000503000000020004" pitchFamily="2" charset="0"/>
                        <a:cs typeface="Helvetica Neue" panose="02000503000000020004" pitchFamily="2" charset="0"/>
                      </a:defRPr>
                    </a:pPr>
                    <a:r>
                      <a:rPr lang="en-US" sz="1200">
                        <a:latin typeface="Helvetica Neue" panose="02000503000000020004" pitchFamily="2" charset="0"/>
                        <a:ea typeface="Helvetica Neue" panose="02000503000000020004" pitchFamily="2" charset="0"/>
                        <a:cs typeface="Helvetica Neue" panose="02000503000000020004" pitchFamily="2" charset="0"/>
                      </a:rPr>
                      <a:t>Position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Helvetica Neue" panose="02000503000000020004" pitchFamily="2" charset="0"/>
                      <a:ea typeface="Helvetica Neue" panose="02000503000000020004" pitchFamily="2" charset="0"/>
                      <a:cs typeface="Helvetica Neue" panose="02000503000000020004" pitchFamily="2" charset="0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99-5649-96E2-64AEA5682F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'globale Grafik'!$X$8:$X$194</c:f>
              <c:numCache>
                <c:formatCode>0.00</c:formatCode>
                <c:ptCount val="187"/>
                <c:pt idx="186">
                  <c:v>19.572669225930113</c:v>
                </c:pt>
              </c:numCache>
            </c:numRef>
          </c:xVal>
          <c:yVal>
            <c:numRef>
              <c:f>'globale Grafik'!$M$8:$M$194</c:f>
              <c:numCache>
                <c:formatCode>0.00\°;[Red]0.00\°</c:formatCode>
                <c:ptCount val="187"/>
                <c:pt idx="0">
                  <c:v>56.214284919562225</c:v>
                </c:pt>
                <c:pt idx="1">
                  <c:v>56.214284919562225</c:v>
                </c:pt>
                <c:pt idx="2">
                  <c:v>55.88780241142296</c:v>
                </c:pt>
                <c:pt idx="3">
                  <c:v>55.504510882555373</c:v>
                </c:pt>
                <c:pt idx="4">
                  <c:v>55.121219353687785</c:v>
                </c:pt>
                <c:pt idx="5">
                  <c:v>54.737927824820197</c:v>
                </c:pt>
                <c:pt idx="6">
                  <c:v>54.354636295952609</c:v>
                </c:pt>
                <c:pt idx="7">
                  <c:v>53.971344767085021</c:v>
                </c:pt>
                <c:pt idx="8">
                  <c:v>53.588053238217434</c:v>
                </c:pt>
                <c:pt idx="9">
                  <c:v>53.204761709349846</c:v>
                </c:pt>
                <c:pt idx="10">
                  <c:v>52.821470180482258</c:v>
                </c:pt>
                <c:pt idx="11">
                  <c:v>52.43817865161467</c:v>
                </c:pt>
                <c:pt idx="12">
                  <c:v>52.054887122747083</c:v>
                </c:pt>
                <c:pt idx="13">
                  <c:v>51.671595593879495</c:v>
                </c:pt>
                <c:pt idx="14">
                  <c:v>51.288304065011907</c:v>
                </c:pt>
                <c:pt idx="15">
                  <c:v>50.905012536144319</c:v>
                </c:pt>
                <c:pt idx="16">
                  <c:v>50.521721007276732</c:v>
                </c:pt>
                <c:pt idx="17">
                  <c:v>50.138429478409144</c:v>
                </c:pt>
                <c:pt idx="18">
                  <c:v>49.755137949541556</c:v>
                </c:pt>
                <c:pt idx="19">
                  <c:v>49.371846420673968</c:v>
                </c:pt>
                <c:pt idx="20">
                  <c:v>48.98855489180638</c:v>
                </c:pt>
                <c:pt idx="21">
                  <c:v>48.605263362938793</c:v>
                </c:pt>
                <c:pt idx="22">
                  <c:v>48.221971834071205</c:v>
                </c:pt>
                <c:pt idx="23">
                  <c:v>47.838680305203617</c:v>
                </c:pt>
                <c:pt idx="24">
                  <c:v>47.455388776336029</c:v>
                </c:pt>
                <c:pt idx="25">
                  <c:v>47.072097247468442</c:v>
                </c:pt>
                <c:pt idx="26">
                  <c:v>46.688805718600854</c:v>
                </c:pt>
                <c:pt idx="27">
                  <c:v>46.305514189733266</c:v>
                </c:pt>
                <c:pt idx="28">
                  <c:v>45.922222660865678</c:v>
                </c:pt>
                <c:pt idx="29">
                  <c:v>45.538931131998091</c:v>
                </c:pt>
                <c:pt idx="30">
                  <c:v>45.155639603130503</c:v>
                </c:pt>
                <c:pt idx="31">
                  <c:v>44.772348074262915</c:v>
                </c:pt>
                <c:pt idx="32">
                  <c:v>44.389056545395327</c:v>
                </c:pt>
                <c:pt idx="33">
                  <c:v>44.005765016527739</c:v>
                </c:pt>
                <c:pt idx="34">
                  <c:v>43.622473487660152</c:v>
                </c:pt>
                <c:pt idx="35">
                  <c:v>43.239181958792564</c:v>
                </c:pt>
                <c:pt idx="36">
                  <c:v>42.855890429924976</c:v>
                </c:pt>
                <c:pt idx="37">
                  <c:v>42.472598901057388</c:v>
                </c:pt>
                <c:pt idx="38">
                  <c:v>42.089307372189801</c:v>
                </c:pt>
                <c:pt idx="39">
                  <c:v>41.706015843322213</c:v>
                </c:pt>
                <c:pt idx="40">
                  <c:v>41.322724314454625</c:v>
                </c:pt>
                <c:pt idx="41">
                  <c:v>40.939432785587037</c:v>
                </c:pt>
                <c:pt idx="42">
                  <c:v>40.556141256719449</c:v>
                </c:pt>
                <c:pt idx="43">
                  <c:v>40.172849727851862</c:v>
                </c:pt>
                <c:pt idx="44">
                  <c:v>39.789558198984274</c:v>
                </c:pt>
                <c:pt idx="45">
                  <c:v>39.406266670116686</c:v>
                </c:pt>
                <c:pt idx="46">
                  <c:v>39.022975141249098</c:v>
                </c:pt>
                <c:pt idx="47">
                  <c:v>38.639683612381511</c:v>
                </c:pt>
                <c:pt idx="48">
                  <c:v>38.256392083513923</c:v>
                </c:pt>
                <c:pt idx="49">
                  <c:v>37.873100554646335</c:v>
                </c:pt>
                <c:pt idx="50">
                  <c:v>37.489809025778747</c:v>
                </c:pt>
                <c:pt idx="51">
                  <c:v>37.10651749691116</c:v>
                </c:pt>
                <c:pt idx="52">
                  <c:v>36.723225968043572</c:v>
                </c:pt>
                <c:pt idx="53">
                  <c:v>36.339934439175984</c:v>
                </c:pt>
                <c:pt idx="54">
                  <c:v>35.956642910308396</c:v>
                </c:pt>
                <c:pt idx="55">
                  <c:v>35.573351381440808</c:v>
                </c:pt>
                <c:pt idx="56">
                  <c:v>35.190059852573221</c:v>
                </c:pt>
                <c:pt idx="57">
                  <c:v>34.806768323705633</c:v>
                </c:pt>
                <c:pt idx="58">
                  <c:v>34.423476794838045</c:v>
                </c:pt>
                <c:pt idx="59">
                  <c:v>34.040185265970457</c:v>
                </c:pt>
                <c:pt idx="60">
                  <c:v>33.65689373710287</c:v>
                </c:pt>
                <c:pt idx="61">
                  <c:v>33.273602208235282</c:v>
                </c:pt>
                <c:pt idx="62">
                  <c:v>32.890310679367694</c:v>
                </c:pt>
                <c:pt idx="63">
                  <c:v>32.507019150500106</c:v>
                </c:pt>
                <c:pt idx="64">
                  <c:v>32.123727621632518</c:v>
                </c:pt>
                <c:pt idx="65">
                  <c:v>31.740436092764931</c:v>
                </c:pt>
                <c:pt idx="66">
                  <c:v>31.357144563897343</c:v>
                </c:pt>
                <c:pt idx="67">
                  <c:v>30.973853035029755</c:v>
                </c:pt>
                <c:pt idx="68">
                  <c:v>30.590561506162167</c:v>
                </c:pt>
                <c:pt idx="69">
                  <c:v>30.20726997729458</c:v>
                </c:pt>
                <c:pt idx="70">
                  <c:v>29.823978448426992</c:v>
                </c:pt>
                <c:pt idx="71">
                  <c:v>29.440686919559404</c:v>
                </c:pt>
                <c:pt idx="72">
                  <c:v>29.057395390691816</c:v>
                </c:pt>
                <c:pt idx="73">
                  <c:v>28.674103861824229</c:v>
                </c:pt>
                <c:pt idx="74">
                  <c:v>28.290812332956641</c:v>
                </c:pt>
                <c:pt idx="75">
                  <c:v>27.907520804089053</c:v>
                </c:pt>
                <c:pt idx="76">
                  <c:v>27.524229275221465</c:v>
                </c:pt>
                <c:pt idx="77">
                  <c:v>27.140937746353877</c:v>
                </c:pt>
                <c:pt idx="78">
                  <c:v>26.75764621748629</c:v>
                </c:pt>
                <c:pt idx="79">
                  <c:v>26.374354688618702</c:v>
                </c:pt>
                <c:pt idx="80">
                  <c:v>25.991063159751114</c:v>
                </c:pt>
                <c:pt idx="81">
                  <c:v>25.607771630883526</c:v>
                </c:pt>
                <c:pt idx="82">
                  <c:v>25.224480102015939</c:v>
                </c:pt>
                <c:pt idx="83">
                  <c:v>24.841188573148351</c:v>
                </c:pt>
                <c:pt idx="84">
                  <c:v>24.457897044280763</c:v>
                </c:pt>
                <c:pt idx="85">
                  <c:v>24.074605515413175</c:v>
                </c:pt>
                <c:pt idx="86">
                  <c:v>23.691313986545588</c:v>
                </c:pt>
                <c:pt idx="87">
                  <c:v>23.308022457678</c:v>
                </c:pt>
                <c:pt idx="88">
                  <c:v>22.924730928810412</c:v>
                </c:pt>
                <c:pt idx="89">
                  <c:v>22.541439399942824</c:v>
                </c:pt>
                <c:pt idx="90">
                  <c:v>22.158147871075236</c:v>
                </c:pt>
                <c:pt idx="91">
                  <c:v>21.774856342207649</c:v>
                </c:pt>
                <c:pt idx="92">
                  <c:v>21.391564813340061</c:v>
                </c:pt>
                <c:pt idx="93">
                  <c:v>21.008273284472473</c:v>
                </c:pt>
                <c:pt idx="94">
                  <c:v>20.624981755604885</c:v>
                </c:pt>
                <c:pt idx="95">
                  <c:v>20.241690226737298</c:v>
                </c:pt>
                <c:pt idx="96">
                  <c:v>19.85839869786971</c:v>
                </c:pt>
                <c:pt idx="97">
                  <c:v>19.475107169002122</c:v>
                </c:pt>
                <c:pt idx="98">
                  <c:v>19.091815640134534</c:v>
                </c:pt>
                <c:pt idx="99">
                  <c:v>18.708524111266946</c:v>
                </c:pt>
                <c:pt idx="100">
                  <c:v>18.325232582399359</c:v>
                </c:pt>
                <c:pt idx="101">
                  <c:v>17.941941053531771</c:v>
                </c:pt>
                <c:pt idx="102">
                  <c:v>17.558649524664183</c:v>
                </c:pt>
                <c:pt idx="103">
                  <c:v>17.175357995796595</c:v>
                </c:pt>
                <c:pt idx="104">
                  <c:v>16.792066466929008</c:v>
                </c:pt>
                <c:pt idx="105">
                  <c:v>16.40877493806142</c:v>
                </c:pt>
                <c:pt idx="106">
                  <c:v>16.025483409193832</c:v>
                </c:pt>
                <c:pt idx="107">
                  <c:v>15.642191880326244</c:v>
                </c:pt>
                <c:pt idx="108">
                  <c:v>15.258900351458657</c:v>
                </c:pt>
                <c:pt idx="109">
                  <c:v>14.875608822591069</c:v>
                </c:pt>
                <c:pt idx="110">
                  <c:v>14.492317293723481</c:v>
                </c:pt>
                <c:pt idx="111">
                  <c:v>14.109025764855893</c:v>
                </c:pt>
                <c:pt idx="112">
                  <c:v>13.725734235988305</c:v>
                </c:pt>
                <c:pt idx="113">
                  <c:v>13.342442707120718</c:v>
                </c:pt>
                <c:pt idx="114">
                  <c:v>12.95915117825313</c:v>
                </c:pt>
                <c:pt idx="115">
                  <c:v>12.575859649385542</c:v>
                </c:pt>
                <c:pt idx="116">
                  <c:v>12.192568120517954</c:v>
                </c:pt>
                <c:pt idx="117">
                  <c:v>11.809276591650367</c:v>
                </c:pt>
                <c:pt idx="118">
                  <c:v>11.425985062782779</c:v>
                </c:pt>
                <c:pt idx="119">
                  <c:v>11.042693533915191</c:v>
                </c:pt>
                <c:pt idx="120">
                  <c:v>10.659402005047603</c:v>
                </c:pt>
                <c:pt idx="121">
                  <c:v>10.276110476180015</c:v>
                </c:pt>
                <c:pt idx="122">
                  <c:v>9.8928189473124277</c:v>
                </c:pt>
                <c:pt idx="123">
                  <c:v>9.50952741844484</c:v>
                </c:pt>
                <c:pt idx="124">
                  <c:v>9.1262358895772522</c:v>
                </c:pt>
                <c:pt idx="125">
                  <c:v>8.7429443607096644</c:v>
                </c:pt>
                <c:pt idx="126">
                  <c:v>8.3596528318420766</c:v>
                </c:pt>
                <c:pt idx="127">
                  <c:v>7.976361302974488</c:v>
                </c:pt>
                <c:pt idx="128">
                  <c:v>7.5930697741068993</c:v>
                </c:pt>
                <c:pt idx="129">
                  <c:v>7.2097782452393107</c:v>
                </c:pt>
                <c:pt idx="130">
                  <c:v>6.826486716371722</c:v>
                </c:pt>
                <c:pt idx="131">
                  <c:v>6.4431951875041333</c:v>
                </c:pt>
                <c:pt idx="132">
                  <c:v>6.0599036586365447</c:v>
                </c:pt>
                <c:pt idx="133">
                  <c:v>5.676612129768956</c:v>
                </c:pt>
                <c:pt idx="134">
                  <c:v>5.2933206009013674</c:v>
                </c:pt>
                <c:pt idx="135">
                  <c:v>4.9100290720337787</c:v>
                </c:pt>
                <c:pt idx="136">
                  <c:v>4.52673754316619</c:v>
                </c:pt>
                <c:pt idx="137">
                  <c:v>4.1434460142986014</c:v>
                </c:pt>
                <c:pt idx="138">
                  <c:v>3.7601544854310132</c:v>
                </c:pt>
                <c:pt idx="139">
                  <c:v>3.3768629565634249</c:v>
                </c:pt>
                <c:pt idx="140">
                  <c:v>2.9935714276958367</c:v>
                </c:pt>
                <c:pt idx="141">
                  <c:v>2.6102798988282485</c:v>
                </c:pt>
                <c:pt idx="142">
                  <c:v>2.2269883699606603</c:v>
                </c:pt>
                <c:pt idx="143">
                  <c:v>1.8436968410930721</c:v>
                </c:pt>
                <c:pt idx="144">
                  <c:v>1.4604053122254839</c:v>
                </c:pt>
                <c:pt idx="145">
                  <c:v>1.0771137833578956</c:v>
                </c:pt>
                <c:pt idx="146">
                  <c:v>0.69382225449030743</c:v>
                </c:pt>
                <c:pt idx="147">
                  <c:v>0.31053072562271916</c:v>
                </c:pt>
                <c:pt idx="148">
                  <c:v>-7.276080324486911E-2</c:v>
                </c:pt>
                <c:pt idx="149">
                  <c:v>-0.45605233211245738</c:v>
                </c:pt>
                <c:pt idx="150">
                  <c:v>-0.83934386098004565</c:v>
                </c:pt>
                <c:pt idx="151">
                  <c:v>-1.2226353898476339</c:v>
                </c:pt>
                <c:pt idx="152">
                  <c:v>-1.6059269187152221</c:v>
                </c:pt>
                <c:pt idx="153">
                  <c:v>-1.9892184475828103</c:v>
                </c:pt>
                <c:pt idx="154">
                  <c:v>-2.3725099764503987</c:v>
                </c:pt>
                <c:pt idx="155">
                  <c:v>-2.755801505317987</c:v>
                </c:pt>
                <c:pt idx="156">
                  <c:v>-3.1390930341855752</c:v>
                </c:pt>
                <c:pt idx="157">
                  <c:v>-3.5223845630531634</c:v>
                </c:pt>
                <c:pt idx="158">
                  <c:v>-3.9056760919207516</c:v>
                </c:pt>
                <c:pt idx="159">
                  <c:v>-4.2889676207883403</c:v>
                </c:pt>
                <c:pt idx="160">
                  <c:v>-4.6722591496559289</c:v>
                </c:pt>
                <c:pt idx="161">
                  <c:v>-5.0555506785235176</c:v>
                </c:pt>
                <c:pt idx="162">
                  <c:v>-5.4388422073911062</c:v>
                </c:pt>
                <c:pt idx="163">
                  <c:v>-5.8221337362586949</c:v>
                </c:pt>
                <c:pt idx="164">
                  <c:v>-6.2054252651262836</c:v>
                </c:pt>
                <c:pt idx="165">
                  <c:v>-6.5887167939938722</c:v>
                </c:pt>
                <c:pt idx="166">
                  <c:v>-6.9720083228614609</c:v>
                </c:pt>
                <c:pt idx="167">
                  <c:v>-7.3552998517290495</c:v>
                </c:pt>
                <c:pt idx="168">
                  <c:v>-7.7385913805966382</c:v>
                </c:pt>
                <c:pt idx="169">
                  <c:v>-8.121882909464226</c:v>
                </c:pt>
                <c:pt idx="170">
                  <c:v>-8.5051744383318137</c:v>
                </c:pt>
                <c:pt idx="171">
                  <c:v>-8.8884659671994015</c:v>
                </c:pt>
                <c:pt idx="172">
                  <c:v>-9.2717574960669893</c:v>
                </c:pt>
                <c:pt idx="173">
                  <c:v>-9.6550490249345771</c:v>
                </c:pt>
                <c:pt idx="174">
                  <c:v>-10.038340553802165</c:v>
                </c:pt>
                <c:pt idx="175">
                  <c:v>-10.421632082669753</c:v>
                </c:pt>
                <c:pt idx="176">
                  <c:v>-10.80492361153734</c:v>
                </c:pt>
                <c:pt idx="177">
                  <c:v>-11.188215140404928</c:v>
                </c:pt>
                <c:pt idx="178">
                  <c:v>-11.571506669272516</c:v>
                </c:pt>
                <c:pt idx="179">
                  <c:v>-11.941054662610044</c:v>
                </c:pt>
                <c:pt idx="180">
                  <c:v>-11.941054662610044</c:v>
                </c:pt>
                <c:pt idx="181">
                  <c:v>-11.941054662610044</c:v>
                </c:pt>
                <c:pt idx="182">
                  <c:v>-11.941054662610044</c:v>
                </c:pt>
                <c:pt idx="183">
                  <c:v>-11.941054662610044</c:v>
                </c:pt>
                <c:pt idx="184">
                  <c:v>-11.941054662610044</c:v>
                </c:pt>
                <c:pt idx="185">
                  <c:v>-11.941054662610044</c:v>
                </c:pt>
                <c:pt idx="186">
                  <c:v>35.794161516715647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899-5649-96E2-64AEA5682F16}"/>
            </c:ext>
          </c:extLst>
        </c:ser>
        <c:ser>
          <c:idx val="5"/>
          <c:order val="5"/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Pt>
            <c:idx val="187"/>
            <c:marker>
              <c:symbol val="circle"/>
              <c:size val="10"/>
              <c:spPr>
                <a:solidFill>
                  <a:srgbClr val="FFF803"/>
                </a:solidFill>
                <a:ln w="0">
                  <a:solidFill>
                    <a:srgbClr val="00B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899-5649-96E2-64AEA5682F16}"/>
              </c:ext>
            </c:extLst>
          </c:dPt>
          <c:dPt>
            <c:idx val="188"/>
            <c:marker>
              <c:symbol val="circle"/>
              <c:size val="10"/>
              <c:spPr>
                <a:solidFill>
                  <a:srgbClr val="FFF803"/>
                </a:solidFill>
                <a:ln w="0">
                  <a:solidFill>
                    <a:srgbClr val="FF0000"/>
                  </a:solidFill>
                </a:ln>
                <a:effectLst/>
              </c:spPr>
            </c:marker>
            <c:bubble3D val="0"/>
            <c:spPr>
              <a:ln w="1905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7899-5649-96E2-64AEA5682F16}"/>
              </c:ext>
            </c:extLst>
          </c:dPt>
          <c:xVal>
            <c:numRef>
              <c:f>'globale Grafik'!$Y$8:$Y$196</c:f>
              <c:numCache>
                <c:formatCode>0.00</c:formatCode>
                <c:ptCount val="189"/>
                <c:pt idx="187" formatCode="0.00_ ;[Red]\-0.00\ ">
                  <c:v>55.92842025435931</c:v>
                </c:pt>
                <c:pt idx="188" formatCode="0.00_ ;[Red]\-0.00\ ">
                  <c:v>10.587530040083209</c:v>
                </c:pt>
              </c:numCache>
            </c:numRef>
          </c:xVal>
          <c:yVal>
            <c:numRef>
              <c:f>'globale Grafik'!$M$8:$M$196</c:f>
              <c:numCache>
                <c:formatCode>0.00\°;[Red]0.00\°</c:formatCode>
                <c:ptCount val="189"/>
                <c:pt idx="0">
                  <c:v>56.214284919562225</c:v>
                </c:pt>
                <c:pt idx="1">
                  <c:v>56.214284919562225</c:v>
                </c:pt>
                <c:pt idx="2">
                  <c:v>55.88780241142296</c:v>
                </c:pt>
                <c:pt idx="3">
                  <c:v>55.504510882555373</c:v>
                </c:pt>
                <c:pt idx="4">
                  <c:v>55.121219353687785</c:v>
                </c:pt>
                <c:pt idx="5">
                  <c:v>54.737927824820197</c:v>
                </c:pt>
                <c:pt idx="6">
                  <c:v>54.354636295952609</c:v>
                </c:pt>
                <c:pt idx="7">
                  <c:v>53.971344767085021</c:v>
                </c:pt>
                <c:pt idx="8">
                  <c:v>53.588053238217434</c:v>
                </c:pt>
                <c:pt idx="9">
                  <c:v>53.204761709349846</c:v>
                </c:pt>
                <c:pt idx="10">
                  <c:v>52.821470180482258</c:v>
                </c:pt>
                <c:pt idx="11">
                  <c:v>52.43817865161467</c:v>
                </c:pt>
                <c:pt idx="12">
                  <c:v>52.054887122747083</c:v>
                </c:pt>
                <c:pt idx="13">
                  <c:v>51.671595593879495</c:v>
                </c:pt>
                <c:pt idx="14">
                  <c:v>51.288304065011907</c:v>
                </c:pt>
                <c:pt idx="15">
                  <c:v>50.905012536144319</c:v>
                </c:pt>
                <c:pt idx="16">
                  <c:v>50.521721007276732</c:v>
                </c:pt>
                <c:pt idx="17">
                  <c:v>50.138429478409144</c:v>
                </c:pt>
                <c:pt idx="18">
                  <c:v>49.755137949541556</c:v>
                </c:pt>
                <c:pt idx="19">
                  <c:v>49.371846420673968</c:v>
                </c:pt>
                <c:pt idx="20">
                  <c:v>48.98855489180638</c:v>
                </c:pt>
                <c:pt idx="21">
                  <c:v>48.605263362938793</c:v>
                </c:pt>
                <c:pt idx="22">
                  <c:v>48.221971834071205</c:v>
                </c:pt>
                <c:pt idx="23">
                  <c:v>47.838680305203617</c:v>
                </c:pt>
                <c:pt idx="24">
                  <c:v>47.455388776336029</c:v>
                </c:pt>
                <c:pt idx="25">
                  <c:v>47.072097247468442</c:v>
                </c:pt>
                <c:pt idx="26">
                  <c:v>46.688805718600854</c:v>
                </c:pt>
                <c:pt idx="27">
                  <c:v>46.305514189733266</c:v>
                </c:pt>
                <c:pt idx="28">
                  <c:v>45.922222660865678</c:v>
                </c:pt>
                <c:pt idx="29">
                  <c:v>45.538931131998091</c:v>
                </c:pt>
                <c:pt idx="30">
                  <c:v>45.155639603130503</c:v>
                </c:pt>
                <c:pt idx="31">
                  <c:v>44.772348074262915</c:v>
                </c:pt>
                <c:pt idx="32">
                  <c:v>44.389056545395327</c:v>
                </c:pt>
                <c:pt idx="33">
                  <c:v>44.005765016527739</c:v>
                </c:pt>
                <c:pt idx="34">
                  <c:v>43.622473487660152</c:v>
                </c:pt>
                <c:pt idx="35">
                  <c:v>43.239181958792564</c:v>
                </c:pt>
                <c:pt idx="36">
                  <c:v>42.855890429924976</c:v>
                </c:pt>
                <c:pt idx="37">
                  <c:v>42.472598901057388</c:v>
                </c:pt>
                <c:pt idx="38">
                  <c:v>42.089307372189801</c:v>
                </c:pt>
                <c:pt idx="39">
                  <c:v>41.706015843322213</c:v>
                </c:pt>
                <c:pt idx="40">
                  <c:v>41.322724314454625</c:v>
                </c:pt>
                <c:pt idx="41">
                  <c:v>40.939432785587037</c:v>
                </c:pt>
                <c:pt idx="42">
                  <c:v>40.556141256719449</c:v>
                </c:pt>
                <c:pt idx="43">
                  <c:v>40.172849727851862</c:v>
                </c:pt>
                <c:pt idx="44">
                  <c:v>39.789558198984274</c:v>
                </c:pt>
                <c:pt idx="45">
                  <c:v>39.406266670116686</c:v>
                </c:pt>
                <c:pt idx="46">
                  <c:v>39.022975141249098</c:v>
                </c:pt>
                <c:pt idx="47">
                  <c:v>38.639683612381511</c:v>
                </c:pt>
                <c:pt idx="48">
                  <c:v>38.256392083513923</c:v>
                </c:pt>
                <c:pt idx="49">
                  <c:v>37.873100554646335</c:v>
                </c:pt>
                <c:pt idx="50">
                  <c:v>37.489809025778747</c:v>
                </c:pt>
                <c:pt idx="51">
                  <c:v>37.10651749691116</c:v>
                </c:pt>
                <c:pt idx="52">
                  <c:v>36.723225968043572</c:v>
                </c:pt>
                <c:pt idx="53">
                  <c:v>36.339934439175984</c:v>
                </c:pt>
                <c:pt idx="54">
                  <c:v>35.956642910308396</c:v>
                </c:pt>
                <c:pt idx="55">
                  <c:v>35.573351381440808</c:v>
                </c:pt>
                <c:pt idx="56">
                  <c:v>35.190059852573221</c:v>
                </c:pt>
                <c:pt idx="57">
                  <c:v>34.806768323705633</c:v>
                </c:pt>
                <c:pt idx="58">
                  <c:v>34.423476794838045</c:v>
                </c:pt>
                <c:pt idx="59">
                  <c:v>34.040185265970457</c:v>
                </c:pt>
                <c:pt idx="60">
                  <c:v>33.65689373710287</c:v>
                </c:pt>
                <c:pt idx="61">
                  <c:v>33.273602208235282</c:v>
                </c:pt>
                <c:pt idx="62">
                  <c:v>32.890310679367694</c:v>
                </c:pt>
                <c:pt idx="63">
                  <c:v>32.507019150500106</c:v>
                </c:pt>
                <c:pt idx="64">
                  <c:v>32.123727621632518</c:v>
                </c:pt>
                <c:pt idx="65">
                  <c:v>31.740436092764931</c:v>
                </c:pt>
                <c:pt idx="66">
                  <c:v>31.357144563897343</c:v>
                </c:pt>
                <c:pt idx="67">
                  <c:v>30.973853035029755</c:v>
                </c:pt>
                <c:pt idx="68">
                  <c:v>30.590561506162167</c:v>
                </c:pt>
                <c:pt idx="69">
                  <c:v>30.20726997729458</c:v>
                </c:pt>
                <c:pt idx="70">
                  <c:v>29.823978448426992</c:v>
                </c:pt>
                <c:pt idx="71">
                  <c:v>29.440686919559404</c:v>
                </c:pt>
                <c:pt idx="72">
                  <c:v>29.057395390691816</c:v>
                </c:pt>
                <c:pt idx="73">
                  <c:v>28.674103861824229</c:v>
                </c:pt>
                <c:pt idx="74">
                  <c:v>28.290812332956641</c:v>
                </c:pt>
                <c:pt idx="75">
                  <c:v>27.907520804089053</c:v>
                </c:pt>
                <c:pt idx="76">
                  <c:v>27.524229275221465</c:v>
                </c:pt>
                <c:pt idx="77">
                  <c:v>27.140937746353877</c:v>
                </c:pt>
                <c:pt idx="78">
                  <c:v>26.75764621748629</c:v>
                </c:pt>
                <c:pt idx="79">
                  <c:v>26.374354688618702</c:v>
                </c:pt>
                <c:pt idx="80">
                  <c:v>25.991063159751114</c:v>
                </c:pt>
                <c:pt idx="81">
                  <c:v>25.607771630883526</c:v>
                </c:pt>
                <c:pt idx="82">
                  <c:v>25.224480102015939</c:v>
                </c:pt>
                <c:pt idx="83">
                  <c:v>24.841188573148351</c:v>
                </c:pt>
                <c:pt idx="84">
                  <c:v>24.457897044280763</c:v>
                </c:pt>
                <c:pt idx="85">
                  <c:v>24.074605515413175</c:v>
                </c:pt>
                <c:pt idx="86">
                  <c:v>23.691313986545588</c:v>
                </c:pt>
                <c:pt idx="87">
                  <c:v>23.308022457678</c:v>
                </c:pt>
                <c:pt idx="88">
                  <c:v>22.924730928810412</c:v>
                </c:pt>
                <c:pt idx="89">
                  <c:v>22.541439399942824</c:v>
                </c:pt>
                <c:pt idx="90">
                  <c:v>22.158147871075236</c:v>
                </c:pt>
                <c:pt idx="91">
                  <c:v>21.774856342207649</c:v>
                </c:pt>
                <c:pt idx="92">
                  <c:v>21.391564813340061</c:v>
                </c:pt>
                <c:pt idx="93">
                  <c:v>21.008273284472473</c:v>
                </c:pt>
                <c:pt idx="94">
                  <c:v>20.624981755604885</c:v>
                </c:pt>
                <c:pt idx="95">
                  <c:v>20.241690226737298</c:v>
                </c:pt>
                <c:pt idx="96">
                  <c:v>19.85839869786971</c:v>
                </c:pt>
                <c:pt idx="97">
                  <c:v>19.475107169002122</c:v>
                </c:pt>
                <c:pt idx="98">
                  <c:v>19.091815640134534</c:v>
                </c:pt>
                <c:pt idx="99">
                  <c:v>18.708524111266946</c:v>
                </c:pt>
                <c:pt idx="100">
                  <c:v>18.325232582399359</c:v>
                </c:pt>
                <c:pt idx="101">
                  <c:v>17.941941053531771</c:v>
                </c:pt>
                <c:pt idx="102">
                  <c:v>17.558649524664183</c:v>
                </c:pt>
                <c:pt idx="103">
                  <c:v>17.175357995796595</c:v>
                </c:pt>
                <c:pt idx="104">
                  <c:v>16.792066466929008</c:v>
                </c:pt>
                <c:pt idx="105">
                  <c:v>16.40877493806142</c:v>
                </c:pt>
                <c:pt idx="106">
                  <c:v>16.025483409193832</c:v>
                </c:pt>
                <c:pt idx="107">
                  <c:v>15.642191880326244</c:v>
                </c:pt>
                <c:pt idx="108">
                  <c:v>15.258900351458657</c:v>
                </c:pt>
                <c:pt idx="109">
                  <c:v>14.875608822591069</c:v>
                </c:pt>
                <c:pt idx="110">
                  <c:v>14.492317293723481</c:v>
                </c:pt>
                <c:pt idx="111">
                  <c:v>14.109025764855893</c:v>
                </c:pt>
                <c:pt idx="112">
                  <c:v>13.725734235988305</c:v>
                </c:pt>
                <c:pt idx="113">
                  <c:v>13.342442707120718</c:v>
                </c:pt>
                <c:pt idx="114">
                  <c:v>12.95915117825313</c:v>
                </c:pt>
                <c:pt idx="115">
                  <c:v>12.575859649385542</c:v>
                </c:pt>
                <c:pt idx="116">
                  <c:v>12.192568120517954</c:v>
                </c:pt>
                <c:pt idx="117">
                  <c:v>11.809276591650367</c:v>
                </c:pt>
                <c:pt idx="118">
                  <c:v>11.425985062782779</c:v>
                </c:pt>
                <c:pt idx="119">
                  <c:v>11.042693533915191</c:v>
                </c:pt>
                <c:pt idx="120">
                  <c:v>10.659402005047603</c:v>
                </c:pt>
                <c:pt idx="121">
                  <c:v>10.276110476180015</c:v>
                </c:pt>
                <c:pt idx="122">
                  <c:v>9.8928189473124277</c:v>
                </c:pt>
                <c:pt idx="123">
                  <c:v>9.50952741844484</c:v>
                </c:pt>
                <c:pt idx="124">
                  <c:v>9.1262358895772522</c:v>
                </c:pt>
                <c:pt idx="125">
                  <c:v>8.7429443607096644</c:v>
                </c:pt>
                <c:pt idx="126">
                  <c:v>8.3596528318420766</c:v>
                </c:pt>
                <c:pt idx="127">
                  <c:v>7.976361302974488</c:v>
                </c:pt>
                <c:pt idx="128">
                  <c:v>7.5930697741068993</c:v>
                </c:pt>
                <c:pt idx="129">
                  <c:v>7.2097782452393107</c:v>
                </c:pt>
                <c:pt idx="130">
                  <c:v>6.826486716371722</c:v>
                </c:pt>
                <c:pt idx="131">
                  <c:v>6.4431951875041333</c:v>
                </c:pt>
                <c:pt idx="132">
                  <c:v>6.0599036586365447</c:v>
                </c:pt>
                <c:pt idx="133">
                  <c:v>5.676612129768956</c:v>
                </c:pt>
                <c:pt idx="134">
                  <c:v>5.2933206009013674</c:v>
                </c:pt>
                <c:pt idx="135">
                  <c:v>4.9100290720337787</c:v>
                </c:pt>
                <c:pt idx="136">
                  <c:v>4.52673754316619</c:v>
                </c:pt>
                <c:pt idx="137">
                  <c:v>4.1434460142986014</c:v>
                </c:pt>
                <c:pt idx="138">
                  <c:v>3.7601544854310132</c:v>
                </c:pt>
                <c:pt idx="139">
                  <c:v>3.3768629565634249</c:v>
                </c:pt>
                <c:pt idx="140">
                  <c:v>2.9935714276958367</c:v>
                </c:pt>
                <c:pt idx="141">
                  <c:v>2.6102798988282485</c:v>
                </c:pt>
                <c:pt idx="142">
                  <c:v>2.2269883699606603</c:v>
                </c:pt>
                <c:pt idx="143">
                  <c:v>1.8436968410930721</c:v>
                </c:pt>
                <c:pt idx="144">
                  <c:v>1.4604053122254839</c:v>
                </c:pt>
                <c:pt idx="145">
                  <c:v>1.0771137833578956</c:v>
                </c:pt>
                <c:pt idx="146">
                  <c:v>0.69382225449030743</c:v>
                </c:pt>
                <c:pt idx="147">
                  <c:v>0.31053072562271916</c:v>
                </c:pt>
                <c:pt idx="148">
                  <c:v>-7.276080324486911E-2</c:v>
                </c:pt>
                <c:pt idx="149">
                  <c:v>-0.45605233211245738</c:v>
                </c:pt>
                <c:pt idx="150">
                  <c:v>-0.83934386098004565</c:v>
                </c:pt>
                <c:pt idx="151">
                  <c:v>-1.2226353898476339</c:v>
                </c:pt>
                <c:pt idx="152">
                  <c:v>-1.6059269187152221</c:v>
                </c:pt>
                <c:pt idx="153">
                  <c:v>-1.9892184475828103</c:v>
                </c:pt>
                <c:pt idx="154">
                  <c:v>-2.3725099764503987</c:v>
                </c:pt>
                <c:pt idx="155">
                  <c:v>-2.755801505317987</c:v>
                </c:pt>
                <c:pt idx="156">
                  <c:v>-3.1390930341855752</c:v>
                </c:pt>
                <c:pt idx="157">
                  <c:v>-3.5223845630531634</c:v>
                </c:pt>
                <c:pt idx="158">
                  <c:v>-3.9056760919207516</c:v>
                </c:pt>
                <c:pt idx="159">
                  <c:v>-4.2889676207883403</c:v>
                </c:pt>
                <c:pt idx="160">
                  <c:v>-4.6722591496559289</c:v>
                </c:pt>
                <c:pt idx="161">
                  <c:v>-5.0555506785235176</c:v>
                </c:pt>
                <c:pt idx="162">
                  <c:v>-5.4388422073911062</c:v>
                </c:pt>
                <c:pt idx="163">
                  <c:v>-5.8221337362586949</c:v>
                </c:pt>
                <c:pt idx="164">
                  <c:v>-6.2054252651262836</c:v>
                </c:pt>
                <c:pt idx="165">
                  <c:v>-6.5887167939938722</c:v>
                </c:pt>
                <c:pt idx="166">
                  <c:v>-6.9720083228614609</c:v>
                </c:pt>
                <c:pt idx="167">
                  <c:v>-7.3552998517290495</c:v>
                </c:pt>
                <c:pt idx="168">
                  <c:v>-7.7385913805966382</c:v>
                </c:pt>
                <c:pt idx="169">
                  <c:v>-8.121882909464226</c:v>
                </c:pt>
                <c:pt idx="170">
                  <c:v>-8.5051744383318137</c:v>
                </c:pt>
                <c:pt idx="171">
                  <c:v>-8.8884659671994015</c:v>
                </c:pt>
                <c:pt idx="172">
                  <c:v>-9.2717574960669893</c:v>
                </c:pt>
                <c:pt idx="173">
                  <c:v>-9.6550490249345771</c:v>
                </c:pt>
                <c:pt idx="174">
                  <c:v>-10.038340553802165</c:v>
                </c:pt>
                <c:pt idx="175">
                  <c:v>-10.421632082669753</c:v>
                </c:pt>
                <c:pt idx="176">
                  <c:v>-10.80492361153734</c:v>
                </c:pt>
                <c:pt idx="177">
                  <c:v>-11.188215140404928</c:v>
                </c:pt>
                <c:pt idx="178">
                  <c:v>-11.571506669272516</c:v>
                </c:pt>
                <c:pt idx="179">
                  <c:v>-11.941054662610044</c:v>
                </c:pt>
                <c:pt idx="180">
                  <c:v>-11.941054662610044</c:v>
                </c:pt>
                <c:pt idx="181">
                  <c:v>-11.941054662610044</c:v>
                </c:pt>
                <c:pt idx="182">
                  <c:v>-11.941054662610044</c:v>
                </c:pt>
                <c:pt idx="183">
                  <c:v>-11.941054662610044</c:v>
                </c:pt>
                <c:pt idx="184">
                  <c:v>-11.941054662610044</c:v>
                </c:pt>
                <c:pt idx="185">
                  <c:v>-11.941054662610044</c:v>
                </c:pt>
                <c:pt idx="186">
                  <c:v>35.794161516715647</c:v>
                </c:pt>
                <c:pt idx="187" formatCode="0.00_ ;[Red]\-0.00\ ">
                  <c:v>22.136615128476091</c:v>
                </c:pt>
                <c:pt idx="188" formatCode="0.00_ ;[Red]\-0.00\ ">
                  <c:v>22.153147871075191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7899-5649-96E2-64AEA5682F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219597184"/>
        <c:axId val="-1219542448"/>
      </c:scatterChart>
      <c:valAx>
        <c:axId val="-1219597184"/>
        <c:scaling>
          <c:orientation val="minMax"/>
          <c:max val="180"/>
          <c:min val="-18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\°_ ;[Red]\-0\°\ 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Helvetica Neue" panose="02000503000000020004" pitchFamily="2" charset="0"/>
                <a:ea typeface="Helvetica Neue" panose="02000503000000020004" pitchFamily="2" charset="0"/>
                <a:cs typeface="Helvetica Neue" panose="02000503000000020004" pitchFamily="2" charset="0"/>
              </a:defRPr>
            </a:pPr>
            <a:endParaRPr lang="de-DE"/>
          </a:p>
        </c:txPr>
        <c:crossAx val="-1219542448"/>
        <c:crosses val="autoZero"/>
        <c:crossBetween val="midCat"/>
        <c:majorUnit val="45"/>
        <c:minorUnit val="15"/>
      </c:valAx>
      <c:valAx>
        <c:axId val="-1219542448"/>
        <c:scaling>
          <c:orientation val="minMax"/>
          <c:max val="90"/>
          <c:min val="-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\°_ ;[Red]\-0\°\ 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Helvetica Neue" panose="02000503000000020004" pitchFamily="2" charset="0"/>
                <a:ea typeface="Helvetica Neue" panose="02000503000000020004" pitchFamily="2" charset="0"/>
                <a:cs typeface="Helvetica Neue" panose="02000503000000020004" pitchFamily="2" charset="0"/>
              </a:defRPr>
            </a:pPr>
            <a:endParaRPr lang="de-DE"/>
          </a:p>
        </c:txPr>
        <c:crossAx val="-1219597184"/>
        <c:crosses val="autoZero"/>
        <c:crossBetween val="midCat"/>
        <c:majorUnit val="30"/>
        <c:minorUnit val="10"/>
      </c:valAx>
      <c:spPr>
        <a:noFill/>
        <a:ln>
          <a:solidFill>
            <a:schemeClr val="bg2">
              <a:lumMod val="90000"/>
            </a:schemeClr>
          </a:solidFill>
        </a:ln>
        <a:effectLst/>
      </c:spPr>
    </c:plotArea>
    <c:plotVisOnly val="0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5875" cap="flat" cmpd="sng" algn="ctr">
      <a:solidFill>
        <a:schemeClr val="bg2">
          <a:lumMod val="50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594478968817421"/>
          <c:y val="2.9101941747572815E-2"/>
          <c:w val="0.8231418613656899"/>
          <c:h val="0.90270201054965216"/>
        </c:manualLayout>
      </c:layout>
      <c:scatterChart>
        <c:scatterStyle val="smoothMarker"/>
        <c:varyColors val="0"/>
        <c:ser>
          <c:idx val="4"/>
          <c:order val="0"/>
          <c:tx>
            <c:strRef>
              <c:f>Standortgrafik!$O$17</c:f>
              <c:strCache>
                <c:ptCount val="1"/>
              </c:strCache>
            </c:strRef>
          </c:tx>
          <c:spPr>
            <a:ln w="19050" cap="rnd">
              <a:solidFill>
                <a:srgbClr val="00B05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Standortgrafik!$O$18:$O$60</c:f>
              <c:numCache>
                <c:formatCode>0.00</c:formatCode>
                <c:ptCount val="43"/>
                <c:pt idx="0">
                  <c:v>20.085634597549813</c:v>
                </c:pt>
                <c:pt idx="1">
                  <c:v>20.077574777867994</c:v>
                </c:pt>
                <c:pt idx="2">
                  <c:v>20.069542340087196</c:v>
                </c:pt>
                <c:pt idx="3">
                  <c:v>20.061537240274163</c:v>
                </c:pt>
                <c:pt idx="4">
                  <c:v>20.053559434646445</c:v>
                </c:pt>
                <c:pt idx="5">
                  <c:v>20.045608879571205</c:v>
                </c:pt>
                <c:pt idx="6">
                  <c:v>20.037685531564989</c:v>
                </c:pt>
                <c:pt idx="7">
                  <c:v>20.029789347293047</c:v>
                </c:pt>
                <c:pt idx="8">
                  <c:v>20.021920283568704</c:v>
                </c:pt>
                <c:pt idx="9">
                  <c:v>20.014078297352967</c:v>
                </c:pt>
                <c:pt idx="10">
                  <c:v>20.006263345753553</c:v>
                </c:pt>
                <c:pt idx="11">
                  <c:v>19.998475386024666</c:v>
                </c:pt>
                <c:pt idx="12">
                  <c:v>19.990714375566256</c:v>
                </c:pt>
                <c:pt idx="13">
                  <c:v>19.982980271923623</c:v>
                </c:pt>
                <c:pt idx="14">
                  <c:v>19.975273032786447</c:v>
                </c:pt>
                <c:pt idx="15">
                  <c:v>19.967592615988735</c:v>
                </c:pt>
                <c:pt idx="16">
                  <c:v>19.959938979507911</c:v>
                </c:pt>
                <c:pt idx="17">
                  <c:v>19.952312081464186</c:v>
                </c:pt>
                <c:pt idx="18">
                  <c:v>19.944711880120508</c:v>
                </c:pt>
                <c:pt idx="19">
                  <c:v>19.937138333881308</c:v>
                </c:pt>
                <c:pt idx="20">
                  <c:v>19.929591401292612</c:v>
                </c:pt>
                <c:pt idx="21">
                  <c:v>19.922071041040795</c:v>
                </c:pt>
                <c:pt idx="22">
                  <c:v>19.91457721195286</c:v>
                </c:pt>
                <c:pt idx="23">
                  <c:v>19.907109872995193</c:v>
                </c:pt>
                <c:pt idx="24">
                  <c:v>19.89966898327333</c:v>
                </c:pt>
                <c:pt idx="25">
                  <c:v>19.892254502031335</c:v>
                </c:pt>
                <c:pt idx="26">
                  <c:v>19.88486638865129</c:v>
                </c:pt>
                <c:pt idx="27">
                  <c:v>19.877504602653062</c:v>
                </c:pt>
                <c:pt idx="28">
                  <c:v>19.870169103693115</c:v>
                </c:pt>
                <c:pt idx="29">
                  <c:v>19.862859851564451</c:v>
                </c:pt>
                <c:pt idx="30">
                  <c:v>19.855576806196268</c:v>
                </c:pt>
                <c:pt idx="31">
                  <c:v>19.84831992765271</c:v>
                </c:pt>
                <c:pt idx="32">
                  <c:v>19.841089176133266</c:v>
                </c:pt>
                <c:pt idx="33">
                  <c:v>19.833884511971405</c:v>
                </c:pt>
                <c:pt idx="34">
                  <c:v>19.826705895634859</c:v>
                </c:pt>
                <c:pt idx="35">
                  <c:v>19.819553287724261</c:v>
                </c:pt>
                <c:pt idx="36">
                  <c:v>19.812426648973428</c:v>
                </c:pt>
                <c:pt idx="37">
                  <c:v>19.805325940248395</c:v>
                </c:pt>
                <c:pt idx="38">
                  <c:v>19.798251122547072</c:v>
                </c:pt>
                <c:pt idx="39">
                  <c:v>19.791202156998565</c:v>
                </c:pt>
                <c:pt idx="40">
                  <c:v>19.78417900486312</c:v>
                </c:pt>
              </c:numCache>
            </c:numRef>
          </c:xVal>
          <c:yVal>
            <c:numRef>
              <c:f>Standortgrafik!$J$18:$J$60</c:f>
              <c:numCache>
                <c:formatCode>#,##0.00\ _€</c:formatCode>
                <c:ptCount val="43"/>
                <c:pt idx="0">
                  <c:v>36.320208743365662</c:v>
                </c:pt>
                <c:pt idx="1">
                  <c:v>36.295208743365663</c:v>
                </c:pt>
                <c:pt idx="2">
                  <c:v>36.270208743365664</c:v>
                </c:pt>
                <c:pt idx="3">
                  <c:v>36.245208743365666</c:v>
                </c:pt>
                <c:pt idx="4">
                  <c:v>36.220208743365667</c:v>
                </c:pt>
                <c:pt idx="5">
                  <c:v>36.195208743365669</c:v>
                </c:pt>
                <c:pt idx="6">
                  <c:v>36.17020874336567</c:v>
                </c:pt>
                <c:pt idx="7">
                  <c:v>36.145208743365671</c:v>
                </c:pt>
                <c:pt idx="8">
                  <c:v>36.120208743365673</c:v>
                </c:pt>
                <c:pt idx="9">
                  <c:v>36.095208743365674</c:v>
                </c:pt>
                <c:pt idx="10">
                  <c:v>36.070208743365676</c:v>
                </c:pt>
                <c:pt idx="11">
                  <c:v>36.045208743365677</c:v>
                </c:pt>
                <c:pt idx="12">
                  <c:v>36.020208743365679</c:v>
                </c:pt>
                <c:pt idx="13">
                  <c:v>35.99520874336568</c:v>
                </c:pt>
                <c:pt idx="14">
                  <c:v>35.970208743365681</c:v>
                </c:pt>
                <c:pt idx="15">
                  <c:v>35.945208743365683</c:v>
                </c:pt>
                <c:pt idx="16">
                  <c:v>35.920208743365684</c:v>
                </c:pt>
                <c:pt idx="17">
                  <c:v>35.895208743365686</c:v>
                </c:pt>
                <c:pt idx="18">
                  <c:v>35.870208743365687</c:v>
                </c:pt>
                <c:pt idx="19">
                  <c:v>35.845208743365689</c:v>
                </c:pt>
                <c:pt idx="20">
                  <c:v>35.82020874336569</c:v>
                </c:pt>
                <c:pt idx="21">
                  <c:v>35.795208743365691</c:v>
                </c:pt>
                <c:pt idx="22">
                  <c:v>35.770208743365693</c:v>
                </c:pt>
                <c:pt idx="23">
                  <c:v>35.745208743365694</c:v>
                </c:pt>
                <c:pt idx="24">
                  <c:v>35.720208743365696</c:v>
                </c:pt>
                <c:pt idx="25">
                  <c:v>35.695208743365697</c:v>
                </c:pt>
                <c:pt idx="26">
                  <c:v>35.670208743365698</c:v>
                </c:pt>
                <c:pt idx="27">
                  <c:v>35.6452087433657</c:v>
                </c:pt>
                <c:pt idx="28">
                  <c:v>35.620208743365701</c:v>
                </c:pt>
                <c:pt idx="29">
                  <c:v>35.595208743365703</c:v>
                </c:pt>
                <c:pt idx="30">
                  <c:v>35.570208743365704</c:v>
                </c:pt>
                <c:pt idx="31">
                  <c:v>35.545208743365706</c:v>
                </c:pt>
                <c:pt idx="32">
                  <c:v>35.520208743365707</c:v>
                </c:pt>
                <c:pt idx="33">
                  <c:v>35.495208743365708</c:v>
                </c:pt>
                <c:pt idx="34">
                  <c:v>35.47020874336571</c:v>
                </c:pt>
                <c:pt idx="35">
                  <c:v>35.445208743365711</c:v>
                </c:pt>
                <c:pt idx="36">
                  <c:v>35.420208743365713</c:v>
                </c:pt>
                <c:pt idx="37">
                  <c:v>35.395208743365714</c:v>
                </c:pt>
                <c:pt idx="38">
                  <c:v>35.370208743365716</c:v>
                </c:pt>
                <c:pt idx="39">
                  <c:v>35.345208743365717</c:v>
                </c:pt>
                <c:pt idx="40">
                  <c:v>35.320208743365718</c:v>
                </c:pt>
                <c:pt idx="41">
                  <c:v>35.846255970015726</c:v>
                </c:pt>
                <c:pt idx="42">
                  <c:v>35.794161516715647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07F-7144-BF96-854D69D3C829}"/>
            </c:ext>
          </c:extLst>
        </c:ser>
        <c:ser>
          <c:idx val="0"/>
          <c:order val="1"/>
          <c:tx>
            <c:strRef>
              <c:f>Standortgrafik!$P$17</c:f>
              <c:strCache>
                <c:ptCount val="1"/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Standortgrafik!$P$18:$P$60</c:f>
              <c:numCache>
                <c:formatCode>0.00</c:formatCode>
                <c:ptCount val="43"/>
                <c:pt idx="0">
                  <c:v>18.448433972983025</c:v>
                </c:pt>
                <c:pt idx="1">
                  <c:v>18.5068365899848</c:v>
                </c:pt>
                <c:pt idx="2">
                  <c:v>18.564676015404189</c:v>
                </c:pt>
                <c:pt idx="3">
                  <c:v>18.621964547150981</c:v>
                </c:pt>
                <c:pt idx="4">
                  <c:v>18.678714020374287</c:v>
                </c:pt>
                <c:pt idx="5">
                  <c:v>18.7349358316539</c:v>
                </c:pt>
                <c:pt idx="6">
                  <c:v>18.790640961582653</c:v>
                </c:pt>
                <c:pt idx="7">
                  <c:v>18.845839995873689</c:v>
                </c:pt>
                <c:pt idx="8">
                  <c:v>18.900543145105246</c:v>
                </c:pt>
                <c:pt idx="9">
                  <c:v>18.954760263211028</c:v>
                </c:pt>
                <c:pt idx="10">
                  <c:v>19.008500864812106</c:v>
                </c:pt>
                <c:pt idx="11">
                  <c:v>19.061774141476519</c:v>
                </c:pt>
                <c:pt idx="12">
                  <c:v>19.114588976989182</c:v>
                </c:pt>
                <c:pt idx="13">
                  <c:v>19.166953961702177</c:v>
                </c:pt>
                <c:pt idx="14">
                  <c:v>19.218877406034665</c:v>
                </c:pt>
                <c:pt idx="15">
                  <c:v>19.27036735318103</c:v>
                </c:pt>
                <c:pt idx="16">
                  <c:v>19.3214315910854</c:v>
                </c:pt>
                <c:pt idx="17">
                  <c:v>19.372077663732512</c:v>
                </c:pt>
                <c:pt idx="18">
                  <c:v>19.422312881802327</c:v>
                </c:pt>
                <c:pt idx="19">
                  <c:v>19.472144332731943</c:v>
                </c:pt>
                <c:pt idx="20">
                  <c:v>19.521578890224419</c:v>
                </c:pt>
                <c:pt idx="21">
                  <c:v>19.570623223241682</c:v>
                </c:pt>
                <c:pt idx="22">
                  <c:v>19.619283804514282</c:v>
                </c:pt>
                <c:pt idx="23">
                  <c:v>19.667566918601608</c:v>
                </c:pt>
                <c:pt idx="24">
                  <c:v>19.715478669528295</c:v>
                </c:pt>
                <c:pt idx="25">
                  <c:v>19.763024988026586</c:v>
                </c:pt>
                <c:pt idx="26">
                  <c:v>19.810211638407395</c:v>
                </c:pt>
                <c:pt idx="27">
                  <c:v>19.857044225083712</c:v>
                </c:pt>
                <c:pt idx="28">
                  <c:v>19.903528198768413</c:v>
                </c:pt>
                <c:pt idx="29">
                  <c:v>19.949668862364319</c:v>
                </c:pt>
                <c:pt idx="30">
                  <c:v>19.995471376567082</c:v>
                </c:pt>
                <c:pt idx="31">
                  <c:v>20.040940765196183</c:v>
                </c:pt>
                <c:pt idx="32">
                  <c:v>20.086081920271511</c:v>
                </c:pt>
                <c:pt idx="33">
                  <c:v>20.130899606848402</c:v>
                </c:pt>
                <c:pt idx="34">
                  <c:v>20.175398467626792</c:v>
                </c:pt>
                <c:pt idx="35">
                  <c:v>20.219583027346744</c:v>
                </c:pt>
                <c:pt idx="36">
                  <c:v>20.263457696981504</c:v>
                </c:pt>
                <c:pt idx="37">
                  <c:v>20.307026777740703</c:v>
                </c:pt>
                <c:pt idx="38">
                  <c:v>20.350294464892897</c:v>
                </c:pt>
                <c:pt idx="39">
                  <c:v>20.393264851418508</c:v>
                </c:pt>
                <c:pt idx="40">
                  <c:v>20.435941931501361</c:v>
                </c:pt>
              </c:numCache>
            </c:numRef>
          </c:xVal>
          <c:yVal>
            <c:numRef>
              <c:f>Standortgrafik!$J$18:$J$60</c:f>
              <c:numCache>
                <c:formatCode>#,##0.00\ _€</c:formatCode>
                <c:ptCount val="43"/>
                <c:pt idx="0">
                  <c:v>36.320208743365662</c:v>
                </c:pt>
                <c:pt idx="1">
                  <c:v>36.295208743365663</c:v>
                </c:pt>
                <c:pt idx="2">
                  <c:v>36.270208743365664</c:v>
                </c:pt>
                <c:pt idx="3">
                  <c:v>36.245208743365666</c:v>
                </c:pt>
                <c:pt idx="4">
                  <c:v>36.220208743365667</c:v>
                </c:pt>
                <c:pt idx="5">
                  <c:v>36.195208743365669</c:v>
                </c:pt>
                <c:pt idx="6">
                  <c:v>36.17020874336567</c:v>
                </c:pt>
                <c:pt idx="7">
                  <c:v>36.145208743365671</c:v>
                </c:pt>
                <c:pt idx="8">
                  <c:v>36.120208743365673</c:v>
                </c:pt>
                <c:pt idx="9">
                  <c:v>36.095208743365674</c:v>
                </c:pt>
                <c:pt idx="10">
                  <c:v>36.070208743365676</c:v>
                </c:pt>
                <c:pt idx="11">
                  <c:v>36.045208743365677</c:v>
                </c:pt>
                <c:pt idx="12">
                  <c:v>36.020208743365679</c:v>
                </c:pt>
                <c:pt idx="13">
                  <c:v>35.99520874336568</c:v>
                </c:pt>
                <c:pt idx="14">
                  <c:v>35.970208743365681</c:v>
                </c:pt>
                <c:pt idx="15">
                  <c:v>35.945208743365683</c:v>
                </c:pt>
                <c:pt idx="16">
                  <c:v>35.920208743365684</c:v>
                </c:pt>
                <c:pt idx="17">
                  <c:v>35.895208743365686</c:v>
                </c:pt>
                <c:pt idx="18">
                  <c:v>35.870208743365687</c:v>
                </c:pt>
                <c:pt idx="19">
                  <c:v>35.845208743365689</c:v>
                </c:pt>
                <c:pt idx="20">
                  <c:v>35.82020874336569</c:v>
                </c:pt>
                <c:pt idx="21">
                  <c:v>35.795208743365691</c:v>
                </c:pt>
                <c:pt idx="22">
                  <c:v>35.770208743365693</c:v>
                </c:pt>
                <c:pt idx="23">
                  <c:v>35.745208743365694</c:v>
                </c:pt>
                <c:pt idx="24">
                  <c:v>35.720208743365696</c:v>
                </c:pt>
                <c:pt idx="25">
                  <c:v>35.695208743365697</c:v>
                </c:pt>
                <c:pt idx="26">
                  <c:v>35.670208743365698</c:v>
                </c:pt>
                <c:pt idx="27">
                  <c:v>35.6452087433657</c:v>
                </c:pt>
                <c:pt idx="28">
                  <c:v>35.620208743365701</c:v>
                </c:pt>
                <c:pt idx="29">
                  <c:v>35.595208743365703</c:v>
                </c:pt>
                <c:pt idx="30">
                  <c:v>35.570208743365704</c:v>
                </c:pt>
                <c:pt idx="31">
                  <c:v>35.545208743365706</c:v>
                </c:pt>
                <c:pt idx="32">
                  <c:v>35.520208743365707</c:v>
                </c:pt>
                <c:pt idx="33">
                  <c:v>35.495208743365708</c:v>
                </c:pt>
                <c:pt idx="34">
                  <c:v>35.47020874336571</c:v>
                </c:pt>
                <c:pt idx="35">
                  <c:v>35.445208743365711</c:v>
                </c:pt>
                <c:pt idx="36">
                  <c:v>35.420208743365713</c:v>
                </c:pt>
                <c:pt idx="37">
                  <c:v>35.395208743365714</c:v>
                </c:pt>
                <c:pt idx="38">
                  <c:v>35.370208743365716</c:v>
                </c:pt>
                <c:pt idx="39">
                  <c:v>35.345208743365717</c:v>
                </c:pt>
                <c:pt idx="40">
                  <c:v>35.320208743365718</c:v>
                </c:pt>
                <c:pt idx="41">
                  <c:v>35.846255970015726</c:v>
                </c:pt>
                <c:pt idx="42">
                  <c:v>35.794161516715647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07F-7144-BF96-854D69D3C829}"/>
            </c:ext>
          </c:extLst>
        </c:ser>
        <c:ser>
          <c:idx val="1"/>
          <c:order val="2"/>
          <c:tx>
            <c:strRef>
              <c:f>Standortgrafik!$Q$17</c:f>
              <c:strCache>
                <c:ptCount val="1"/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Standortgrafik!$Q$18:$Q$60</c:f>
              <c:numCache>
                <c:formatCode>0.00</c:formatCode>
                <c:ptCount val="43"/>
                <c:pt idx="0">
                  <c:v>19.732840398800818</c:v>
                </c:pt>
                <c:pt idx="1">
                  <c:v>19.724961126440519</c:v>
                </c:pt>
                <c:pt idx="2">
                  <c:v>19.71710879093655</c:v>
                </c:pt>
                <c:pt idx="3">
                  <c:v>19.709283349583643</c:v>
                </c:pt>
                <c:pt idx="4">
                  <c:v>19.701484759821483</c:v>
                </c:pt>
                <c:pt idx="5">
                  <c:v>19.693712979234249</c:v>
                </c:pt>
                <c:pt idx="6">
                  <c:v>19.685967965549708</c:v>
                </c:pt>
                <c:pt idx="7">
                  <c:v>19.678249676638984</c:v>
                </c:pt>
                <c:pt idx="8">
                  <c:v>19.670558070515995</c:v>
                </c:pt>
                <c:pt idx="9">
                  <c:v>19.662893105336536</c:v>
                </c:pt>
                <c:pt idx="10">
                  <c:v>19.65525473939806</c:v>
                </c:pt>
                <c:pt idx="11">
                  <c:v>19.64764293113916</c:v>
                </c:pt>
                <c:pt idx="12">
                  <c:v>19.640057639138831</c:v>
                </c:pt>
                <c:pt idx="13">
                  <c:v>19.632498822115906</c:v>
                </c:pt>
                <c:pt idx="14">
                  <c:v>19.624966438928595</c:v>
                </c:pt>
                <c:pt idx="15">
                  <c:v>19.617460448574093</c:v>
                </c:pt>
                <c:pt idx="16">
                  <c:v>19.609980810187835</c:v>
                </c:pt>
                <c:pt idx="17">
                  <c:v>19.602527483043048</c:v>
                </c:pt>
                <c:pt idx="18">
                  <c:v>19.595100426550118</c:v>
                </c:pt>
                <c:pt idx="19">
                  <c:v>19.587699600256201</c:v>
                </c:pt>
                <c:pt idx="20">
                  <c:v>19.580324963844646</c:v>
                </c:pt>
                <c:pt idx="21">
                  <c:v>19.572976477134489</c:v>
                </c:pt>
                <c:pt idx="22">
                  <c:v>19.565654100079939</c:v>
                </c:pt>
                <c:pt idx="23">
                  <c:v>19.558357792769755</c:v>
                </c:pt>
                <c:pt idx="24">
                  <c:v>19.551087515426843</c:v>
                </c:pt>
                <c:pt idx="25">
                  <c:v>19.543843228407752</c:v>
                </c:pt>
                <c:pt idx="26">
                  <c:v>19.536624892202099</c:v>
                </c:pt>
                <c:pt idx="27">
                  <c:v>19.529432467432173</c:v>
                </c:pt>
                <c:pt idx="28">
                  <c:v>19.522265914852255</c:v>
                </c:pt>
                <c:pt idx="29">
                  <c:v>19.515125195348162</c:v>
                </c:pt>
                <c:pt idx="30">
                  <c:v>19.508010269937074</c:v>
                </c:pt>
                <c:pt idx="31">
                  <c:v>19.500921099766458</c:v>
                </c:pt>
                <c:pt idx="32">
                  <c:v>19.493857646114122</c:v>
                </c:pt>
                <c:pt idx="33">
                  <c:v>19.486819870387365</c:v>
                </c:pt>
                <c:pt idx="34">
                  <c:v>19.479807734122573</c:v>
                </c:pt>
                <c:pt idx="35">
                  <c:v>19.472821198984946</c:v>
                </c:pt>
                <c:pt idx="36">
                  <c:v>19.465860226767802</c:v>
                </c:pt>
                <c:pt idx="37">
                  <c:v>19.458924779392078</c:v>
                </c:pt>
                <c:pt idx="38">
                  <c:v>19.452014818905866</c:v>
                </c:pt>
                <c:pt idx="39">
                  <c:v>19.445130307484021</c:v>
                </c:pt>
                <c:pt idx="40">
                  <c:v>19.438271207427931</c:v>
                </c:pt>
              </c:numCache>
            </c:numRef>
          </c:xVal>
          <c:yVal>
            <c:numRef>
              <c:f>Standortgrafik!$J$18:$J$60</c:f>
              <c:numCache>
                <c:formatCode>#,##0.00\ _€</c:formatCode>
                <c:ptCount val="43"/>
                <c:pt idx="0">
                  <c:v>36.320208743365662</c:v>
                </c:pt>
                <c:pt idx="1">
                  <c:v>36.295208743365663</c:v>
                </c:pt>
                <c:pt idx="2">
                  <c:v>36.270208743365664</c:v>
                </c:pt>
                <c:pt idx="3">
                  <c:v>36.245208743365666</c:v>
                </c:pt>
                <c:pt idx="4">
                  <c:v>36.220208743365667</c:v>
                </c:pt>
                <c:pt idx="5">
                  <c:v>36.195208743365669</c:v>
                </c:pt>
                <c:pt idx="6">
                  <c:v>36.17020874336567</c:v>
                </c:pt>
                <c:pt idx="7">
                  <c:v>36.145208743365671</c:v>
                </c:pt>
                <c:pt idx="8">
                  <c:v>36.120208743365673</c:v>
                </c:pt>
                <c:pt idx="9">
                  <c:v>36.095208743365674</c:v>
                </c:pt>
                <c:pt idx="10">
                  <c:v>36.070208743365676</c:v>
                </c:pt>
                <c:pt idx="11">
                  <c:v>36.045208743365677</c:v>
                </c:pt>
                <c:pt idx="12">
                  <c:v>36.020208743365679</c:v>
                </c:pt>
                <c:pt idx="13">
                  <c:v>35.99520874336568</c:v>
                </c:pt>
                <c:pt idx="14">
                  <c:v>35.970208743365681</c:v>
                </c:pt>
                <c:pt idx="15">
                  <c:v>35.945208743365683</c:v>
                </c:pt>
                <c:pt idx="16">
                  <c:v>35.920208743365684</c:v>
                </c:pt>
                <c:pt idx="17">
                  <c:v>35.895208743365686</c:v>
                </c:pt>
                <c:pt idx="18">
                  <c:v>35.870208743365687</c:v>
                </c:pt>
                <c:pt idx="19">
                  <c:v>35.845208743365689</c:v>
                </c:pt>
                <c:pt idx="20">
                  <c:v>35.82020874336569</c:v>
                </c:pt>
                <c:pt idx="21">
                  <c:v>35.795208743365691</c:v>
                </c:pt>
                <c:pt idx="22">
                  <c:v>35.770208743365693</c:v>
                </c:pt>
                <c:pt idx="23">
                  <c:v>35.745208743365694</c:v>
                </c:pt>
                <c:pt idx="24">
                  <c:v>35.720208743365696</c:v>
                </c:pt>
                <c:pt idx="25">
                  <c:v>35.695208743365697</c:v>
                </c:pt>
                <c:pt idx="26">
                  <c:v>35.670208743365698</c:v>
                </c:pt>
                <c:pt idx="27">
                  <c:v>35.6452087433657</c:v>
                </c:pt>
                <c:pt idx="28">
                  <c:v>35.620208743365701</c:v>
                </c:pt>
                <c:pt idx="29">
                  <c:v>35.595208743365703</c:v>
                </c:pt>
                <c:pt idx="30">
                  <c:v>35.570208743365704</c:v>
                </c:pt>
                <c:pt idx="31">
                  <c:v>35.545208743365706</c:v>
                </c:pt>
                <c:pt idx="32">
                  <c:v>35.520208743365707</c:v>
                </c:pt>
                <c:pt idx="33">
                  <c:v>35.495208743365708</c:v>
                </c:pt>
                <c:pt idx="34">
                  <c:v>35.47020874336571</c:v>
                </c:pt>
                <c:pt idx="35">
                  <c:v>35.445208743365711</c:v>
                </c:pt>
                <c:pt idx="36">
                  <c:v>35.420208743365713</c:v>
                </c:pt>
                <c:pt idx="37">
                  <c:v>35.395208743365714</c:v>
                </c:pt>
                <c:pt idx="38">
                  <c:v>35.370208743365716</c:v>
                </c:pt>
                <c:pt idx="39">
                  <c:v>35.345208743365717</c:v>
                </c:pt>
                <c:pt idx="40">
                  <c:v>35.320208743365718</c:v>
                </c:pt>
                <c:pt idx="41">
                  <c:v>35.846255970015726</c:v>
                </c:pt>
                <c:pt idx="42">
                  <c:v>35.794161516715647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07F-7144-BF96-854D69D3C829}"/>
            </c:ext>
          </c:extLst>
        </c:ser>
        <c:ser>
          <c:idx val="2"/>
          <c:order val="3"/>
          <c:tx>
            <c:strRef>
              <c:f>Standortgrafik!$R$17</c:f>
              <c:strCache>
                <c:ptCount val="1"/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42"/>
            <c:marker>
              <c:symbol val="none"/>
            </c:marker>
            <c:bubble3D val="0"/>
            <c:spPr>
              <a:ln w="19050" cap="rnd">
                <a:solidFill>
                  <a:srgbClr val="0070C0"/>
                </a:solidFill>
                <a:round/>
                <a:tailEnd type="stealth" w="lg" len="lg"/>
              </a:ln>
              <a:effectLst/>
            </c:spPr>
            <c:extLst>
              <c:ext xmlns:c16="http://schemas.microsoft.com/office/drawing/2014/chart" uri="{C3380CC4-5D6E-409C-BE32-E72D297353CC}">
                <c16:uniqueId val="{00000004-807F-7144-BF96-854D69D3C829}"/>
              </c:ext>
            </c:extLst>
          </c:dPt>
          <c:xVal>
            <c:numRef>
              <c:f>Standortgrafik!$R$18:$R$60</c:f>
              <c:numCache>
                <c:formatCode>General</c:formatCode>
                <c:ptCount val="43"/>
                <c:pt idx="41" formatCode="0.00">
                  <c:v>19.936907660848675</c:v>
                </c:pt>
                <c:pt idx="42" formatCode="0.00">
                  <c:v>19.572669225930113</c:v>
                </c:pt>
              </c:numCache>
            </c:numRef>
          </c:xVal>
          <c:yVal>
            <c:numRef>
              <c:f>Standortgrafik!$J$18:$J$60</c:f>
              <c:numCache>
                <c:formatCode>#,##0.00\ _€</c:formatCode>
                <c:ptCount val="43"/>
                <c:pt idx="0">
                  <c:v>36.320208743365662</c:v>
                </c:pt>
                <c:pt idx="1">
                  <c:v>36.295208743365663</c:v>
                </c:pt>
                <c:pt idx="2">
                  <c:v>36.270208743365664</c:v>
                </c:pt>
                <c:pt idx="3">
                  <c:v>36.245208743365666</c:v>
                </c:pt>
                <c:pt idx="4">
                  <c:v>36.220208743365667</c:v>
                </c:pt>
                <c:pt idx="5">
                  <c:v>36.195208743365669</c:v>
                </c:pt>
                <c:pt idx="6">
                  <c:v>36.17020874336567</c:v>
                </c:pt>
                <c:pt idx="7">
                  <c:v>36.145208743365671</c:v>
                </c:pt>
                <c:pt idx="8">
                  <c:v>36.120208743365673</c:v>
                </c:pt>
                <c:pt idx="9">
                  <c:v>36.095208743365674</c:v>
                </c:pt>
                <c:pt idx="10">
                  <c:v>36.070208743365676</c:v>
                </c:pt>
                <c:pt idx="11">
                  <c:v>36.045208743365677</c:v>
                </c:pt>
                <c:pt idx="12">
                  <c:v>36.020208743365679</c:v>
                </c:pt>
                <c:pt idx="13">
                  <c:v>35.99520874336568</c:v>
                </c:pt>
                <c:pt idx="14">
                  <c:v>35.970208743365681</c:v>
                </c:pt>
                <c:pt idx="15">
                  <c:v>35.945208743365683</c:v>
                </c:pt>
                <c:pt idx="16">
                  <c:v>35.920208743365684</c:v>
                </c:pt>
                <c:pt idx="17">
                  <c:v>35.895208743365686</c:v>
                </c:pt>
                <c:pt idx="18">
                  <c:v>35.870208743365687</c:v>
                </c:pt>
                <c:pt idx="19">
                  <c:v>35.845208743365689</c:v>
                </c:pt>
                <c:pt idx="20">
                  <c:v>35.82020874336569</c:v>
                </c:pt>
                <c:pt idx="21">
                  <c:v>35.795208743365691</c:v>
                </c:pt>
                <c:pt idx="22">
                  <c:v>35.770208743365693</c:v>
                </c:pt>
                <c:pt idx="23">
                  <c:v>35.745208743365694</c:v>
                </c:pt>
                <c:pt idx="24">
                  <c:v>35.720208743365696</c:v>
                </c:pt>
                <c:pt idx="25">
                  <c:v>35.695208743365697</c:v>
                </c:pt>
                <c:pt idx="26">
                  <c:v>35.670208743365698</c:v>
                </c:pt>
                <c:pt idx="27">
                  <c:v>35.6452087433657</c:v>
                </c:pt>
                <c:pt idx="28">
                  <c:v>35.620208743365701</c:v>
                </c:pt>
                <c:pt idx="29">
                  <c:v>35.595208743365703</c:v>
                </c:pt>
                <c:pt idx="30">
                  <c:v>35.570208743365704</c:v>
                </c:pt>
                <c:pt idx="31">
                  <c:v>35.545208743365706</c:v>
                </c:pt>
                <c:pt idx="32">
                  <c:v>35.520208743365707</c:v>
                </c:pt>
                <c:pt idx="33">
                  <c:v>35.495208743365708</c:v>
                </c:pt>
                <c:pt idx="34">
                  <c:v>35.47020874336571</c:v>
                </c:pt>
                <c:pt idx="35">
                  <c:v>35.445208743365711</c:v>
                </c:pt>
                <c:pt idx="36">
                  <c:v>35.420208743365713</c:v>
                </c:pt>
                <c:pt idx="37">
                  <c:v>35.395208743365714</c:v>
                </c:pt>
                <c:pt idx="38">
                  <c:v>35.370208743365716</c:v>
                </c:pt>
                <c:pt idx="39">
                  <c:v>35.345208743365717</c:v>
                </c:pt>
                <c:pt idx="40">
                  <c:v>35.320208743365718</c:v>
                </c:pt>
                <c:pt idx="41">
                  <c:v>35.846255970015726</c:v>
                </c:pt>
                <c:pt idx="42">
                  <c:v>35.794161516715647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807F-7144-BF96-854D69D3C8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5045856"/>
        <c:axId val="1385133584"/>
      </c:scatterChart>
      <c:valAx>
        <c:axId val="13850458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.0\°_ ;[Red]\-0.0\°\ 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Helvetica Neue" panose="02000503000000020004" pitchFamily="2" charset="0"/>
                <a:ea typeface="Helvetica Neue" panose="02000503000000020004" pitchFamily="2" charset="0"/>
                <a:cs typeface="Helvetica Neue" panose="02000503000000020004" pitchFamily="2" charset="0"/>
              </a:defRPr>
            </a:pPr>
            <a:endParaRPr lang="de-DE"/>
          </a:p>
        </c:txPr>
        <c:crossAx val="1385133584"/>
        <c:crosses val="autoZero"/>
        <c:crossBetween val="midCat"/>
        <c:majorUnit val="2"/>
        <c:minorUnit val="0.5"/>
      </c:valAx>
      <c:valAx>
        <c:axId val="138513358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.0\°_ ;[Red]\-0.0\°\ 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Helvetica Neue" panose="02000503000000020004" pitchFamily="2" charset="0"/>
                <a:ea typeface="Helvetica Neue" panose="02000503000000020004" pitchFamily="2" charset="0"/>
                <a:cs typeface="Helvetica Neue" panose="02000503000000020004" pitchFamily="2" charset="0"/>
              </a:defRPr>
            </a:pPr>
            <a:endParaRPr lang="de-DE"/>
          </a:p>
        </c:txPr>
        <c:crossAx val="1385045856"/>
        <c:crosses val="max"/>
        <c:crossBetween val="midCat"/>
        <c:majorUnit val="0.5"/>
        <c:minorUnit val="0.16660000000000003"/>
      </c:valAx>
      <c:spPr>
        <a:noFill/>
        <a:ln>
          <a:solidFill>
            <a:schemeClr val="bg2">
              <a:lumMod val="50000"/>
            </a:schemeClr>
          </a:solidFill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5875" cap="flat" cmpd="sng" algn="ctr">
      <a:solidFill>
        <a:schemeClr val="bg2">
          <a:lumMod val="50000"/>
        </a:schemeClr>
      </a:solidFill>
      <a:round/>
    </a:ln>
    <a:effectLst>
      <a:outerShdw blurRad="50800" dist="50800" dir="5400000" algn="ctr" rotWithShape="0">
        <a:schemeClr val="bg1"/>
      </a:outerShdw>
    </a:effectLst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4"/>
          <c:order val="0"/>
          <c:tx>
            <c:strRef>
              <c:f>Standortgrafik!$O$17</c:f>
              <c:strCache>
                <c:ptCount val="1"/>
              </c:strCache>
            </c:strRef>
          </c:tx>
          <c:spPr>
            <a:ln w="19050" cap="rnd">
              <a:solidFill>
                <a:srgbClr val="00B05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Standortgrafik!$O$18:$O$60</c:f>
              <c:numCache>
                <c:formatCode>0.00</c:formatCode>
                <c:ptCount val="43"/>
                <c:pt idx="0">
                  <c:v>20.085634597549813</c:v>
                </c:pt>
                <c:pt idx="1">
                  <c:v>20.077574777867994</c:v>
                </c:pt>
                <c:pt idx="2">
                  <c:v>20.069542340087196</c:v>
                </c:pt>
                <c:pt idx="3">
                  <c:v>20.061537240274163</c:v>
                </c:pt>
                <c:pt idx="4">
                  <c:v>20.053559434646445</c:v>
                </c:pt>
                <c:pt idx="5">
                  <c:v>20.045608879571205</c:v>
                </c:pt>
                <c:pt idx="6">
                  <c:v>20.037685531564989</c:v>
                </c:pt>
                <c:pt idx="7">
                  <c:v>20.029789347293047</c:v>
                </c:pt>
                <c:pt idx="8">
                  <c:v>20.021920283568704</c:v>
                </c:pt>
                <c:pt idx="9">
                  <c:v>20.014078297352967</c:v>
                </c:pt>
                <c:pt idx="10">
                  <c:v>20.006263345753553</c:v>
                </c:pt>
                <c:pt idx="11">
                  <c:v>19.998475386024666</c:v>
                </c:pt>
                <c:pt idx="12">
                  <c:v>19.990714375566256</c:v>
                </c:pt>
                <c:pt idx="13">
                  <c:v>19.982980271923623</c:v>
                </c:pt>
                <c:pt idx="14">
                  <c:v>19.975273032786447</c:v>
                </c:pt>
                <c:pt idx="15">
                  <c:v>19.967592615988735</c:v>
                </c:pt>
                <c:pt idx="16">
                  <c:v>19.959938979507911</c:v>
                </c:pt>
                <c:pt idx="17">
                  <c:v>19.952312081464186</c:v>
                </c:pt>
                <c:pt idx="18">
                  <c:v>19.944711880120508</c:v>
                </c:pt>
                <c:pt idx="19">
                  <c:v>19.937138333881308</c:v>
                </c:pt>
                <c:pt idx="20">
                  <c:v>19.929591401292612</c:v>
                </c:pt>
                <c:pt idx="21">
                  <c:v>19.922071041040795</c:v>
                </c:pt>
                <c:pt idx="22">
                  <c:v>19.91457721195286</c:v>
                </c:pt>
                <c:pt idx="23">
                  <c:v>19.907109872995193</c:v>
                </c:pt>
                <c:pt idx="24">
                  <c:v>19.89966898327333</c:v>
                </c:pt>
                <c:pt idx="25">
                  <c:v>19.892254502031335</c:v>
                </c:pt>
                <c:pt idx="26">
                  <c:v>19.88486638865129</c:v>
                </c:pt>
                <c:pt idx="27">
                  <c:v>19.877504602653062</c:v>
                </c:pt>
                <c:pt idx="28">
                  <c:v>19.870169103693115</c:v>
                </c:pt>
                <c:pt idx="29">
                  <c:v>19.862859851564451</c:v>
                </c:pt>
                <c:pt idx="30">
                  <c:v>19.855576806196268</c:v>
                </c:pt>
                <c:pt idx="31">
                  <c:v>19.84831992765271</c:v>
                </c:pt>
                <c:pt idx="32">
                  <c:v>19.841089176133266</c:v>
                </c:pt>
                <c:pt idx="33">
                  <c:v>19.833884511971405</c:v>
                </c:pt>
                <c:pt idx="34">
                  <c:v>19.826705895634859</c:v>
                </c:pt>
                <c:pt idx="35">
                  <c:v>19.819553287724261</c:v>
                </c:pt>
                <c:pt idx="36">
                  <c:v>19.812426648973428</c:v>
                </c:pt>
                <c:pt idx="37">
                  <c:v>19.805325940248395</c:v>
                </c:pt>
                <c:pt idx="38">
                  <c:v>19.798251122547072</c:v>
                </c:pt>
                <c:pt idx="39">
                  <c:v>19.791202156998565</c:v>
                </c:pt>
                <c:pt idx="40">
                  <c:v>19.78417900486312</c:v>
                </c:pt>
              </c:numCache>
            </c:numRef>
          </c:xVal>
          <c:yVal>
            <c:numRef>
              <c:f>Standortgrafik!$J$18:$J$60</c:f>
              <c:numCache>
                <c:formatCode>#,##0.00\ _€</c:formatCode>
                <c:ptCount val="43"/>
                <c:pt idx="0">
                  <c:v>36.320208743365662</c:v>
                </c:pt>
                <c:pt idx="1">
                  <c:v>36.295208743365663</c:v>
                </c:pt>
                <c:pt idx="2">
                  <c:v>36.270208743365664</c:v>
                </c:pt>
                <c:pt idx="3">
                  <c:v>36.245208743365666</c:v>
                </c:pt>
                <c:pt idx="4">
                  <c:v>36.220208743365667</c:v>
                </c:pt>
                <c:pt idx="5">
                  <c:v>36.195208743365669</c:v>
                </c:pt>
                <c:pt idx="6">
                  <c:v>36.17020874336567</c:v>
                </c:pt>
                <c:pt idx="7">
                  <c:v>36.145208743365671</c:v>
                </c:pt>
                <c:pt idx="8">
                  <c:v>36.120208743365673</c:v>
                </c:pt>
                <c:pt idx="9">
                  <c:v>36.095208743365674</c:v>
                </c:pt>
                <c:pt idx="10">
                  <c:v>36.070208743365676</c:v>
                </c:pt>
                <c:pt idx="11">
                  <c:v>36.045208743365677</c:v>
                </c:pt>
                <c:pt idx="12">
                  <c:v>36.020208743365679</c:v>
                </c:pt>
                <c:pt idx="13">
                  <c:v>35.99520874336568</c:v>
                </c:pt>
                <c:pt idx="14">
                  <c:v>35.970208743365681</c:v>
                </c:pt>
                <c:pt idx="15">
                  <c:v>35.945208743365683</c:v>
                </c:pt>
                <c:pt idx="16">
                  <c:v>35.920208743365684</c:v>
                </c:pt>
                <c:pt idx="17">
                  <c:v>35.895208743365686</c:v>
                </c:pt>
                <c:pt idx="18">
                  <c:v>35.870208743365687</c:v>
                </c:pt>
                <c:pt idx="19">
                  <c:v>35.845208743365689</c:v>
                </c:pt>
                <c:pt idx="20">
                  <c:v>35.82020874336569</c:v>
                </c:pt>
                <c:pt idx="21">
                  <c:v>35.795208743365691</c:v>
                </c:pt>
                <c:pt idx="22">
                  <c:v>35.770208743365693</c:v>
                </c:pt>
                <c:pt idx="23">
                  <c:v>35.745208743365694</c:v>
                </c:pt>
                <c:pt idx="24">
                  <c:v>35.720208743365696</c:v>
                </c:pt>
                <c:pt idx="25">
                  <c:v>35.695208743365697</c:v>
                </c:pt>
                <c:pt idx="26">
                  <c:v>35.670208743365698</c:v>
                </c:pt>
                <c:pt idx="27">
                  <c:v>35.6452087433657</c:v>
                </c:pt>
                <c:pt idx="28">
                  <c:v>35.620208743365701</c:v>
                </c:pt>
                <c:pt idx="29">
                  <c:v>35.595208743365703</c:v>
                </c:pt>
                <c:pt idx="30">
                  <c:v>35.570208743365704</c:v>
                </c:pt>
                <c:pt idx="31">
                  <c:v>35.545208743365706</c:v>
                </c:pt>
                <c:pt idx="32">
                  <c:v>35.520208743365707</c:v>
                </c:pt>
                <c:pt idx="33">
                  <c:v>35.495208743365708</c:v>
                </c:pt>
                <c:pt idx="34">
                  <c:v>35.47020874336571</c:v>
                </c:pt>
                <c:pt idx="35">
                  <c:v>35.445208743365711</c:v>
                </c:pt>
                <c:pt idx="36">
                  <c:v>35.420208743365713</c:v>
                </c:pt>
                <c:pt idx="37">
                  <c:v>35.395208743365714</c:v>
                </c:pt>
                <c:pt idx="38">
                  <c:v>35.370208743365716</c:v>
                </c:pt>
                <c:pt idx="39">
                  <c:v>35.345208743365717</c:v>
                </c:pt>
                <c:pt idx="40">
                  <c:v>35.320208743365718</c:v>
                </c:pt>
                <c:pt idx="41">
                  <c:v>35.846255970015726</c:v>
                </c:pt>
                <c:pt idx="42">
                  <c:v>35.794161516715647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4B8-BA4B-B60E-1C15A8AB85BF}"/>
            </c:ext>
          </c:extLst>
        </c:ser>
        <c:ser>
          <c:idx val="0"/>
          <c:order val="1"/>
          <c:tx>
            <c:strRef>
              <c:f>Standortgrafik!$P$17</c:f>
              <c:strCache>
                <c:ptCount val="1"/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Standortgrafik!$P$18:$P$60</c:f>
              <c:numCache>
                <c:formatCode>0.00</c:formatCode>
                <c:ptCount val="43"/>
                <c:pt idx="0">
                  <c:v>18.448433972983025</c:v>
                </c:pt>
                <c:pt idx="1">
                  <c:v>18.5068365899848</c:v>
                </c:pt>
                <c:pt idx="2">
                  <c:v>18.564676015404189</c:v>
                </c:pt>
                <c:pt idx="3">
                  <c:v>18.621964547150981</c:v>
                </c:pt>
                <c:pt idx="4">
                  <c:v>18.678714020374287</c:v>
                </c:pt>
                <c:pt idx="5">
                  <c:v>18.7349358316539</c:v>
                </c:pt>
                <c:pt idx="6">
                  <c:v>18.790640961582653</c:v>
                </c:pt>
                <c:pt idx="7">
                  <c:v>18.845839995873689</c:v>
                </c:pt>
                <c:pt idx="8">
                  <c:v>18.900543145105246</c:v>
                </c:pt>
                <c:pt idx="9">
                  <c:v>18.954760263211028</c:v>
                </c:pt>
                <c:pt idx="10">
                  <c:v>19.008500864812106</c:v>
                </c:pt>
                <c:pt idx="11">
                  <c:v>19.061774141476519</c:v>
                </c:pt>
                <c:pt idx="12">
                  <c:v>19.114588976989182</c:v>
                </c:pt>
                <c:pt idx="13">
                  <c:v>19.166953961702177</c:v>
                </c:pt>
                <c:pt idx="14">
                  <c:v>19.218877406034665</c:v>
                </c:pt>
                <c:pt idx="15">
                  <c:v>19.27036735318103</c:v>
                </c:pt>
                <c:pt idx="16">
                  <c:v>19.3214315910854</c:v>
                </c:pt>
                <c:pt idx="17">
                  <c:v>19.372077663732512</c:v>
                </c:pt>
                <c:pt idx="18">
                  <c:v>19.422312881802327</c:v>
                </c:pt>
                <c:pt idx="19">
                  <c:v>19.472144332731943</c:v>
                </c:pt>
                <c:pt idx="20">
                  <c:v>19.521578890224419</c:v>
                </c:pt>
                <c:pt idx="21">
                  <c:v>19.570623223241682</c:v>
                </c:pt>
                <c:pt idx="22">
                  <c:v>19.619283804514282</c:v>
                </c:pt>
                <c:pt idx="23">
                  <c:v>19.667566918601608</c:v>
                </c:pt>
                <c:pt idx="24">
                  <c:v>19.715478669528295</c:v>
                </c:pt>
                <c:pt idx="25">
                  <c:v>19.763024988026586</c:v>
                </c:pt>
                <c:pt idx="26">
                  <c:v>19.810211638407395</c:v>
                </c:pt>
                <c:pt idx="27">
                  <c:v>19.857044225083712</c:v>
                </c:pt>
                <c:pt idx="28">
                  <c:v>19.903528198768413</c:v>
                </c:pt>
                <c:pt idx="29">
                  <c:v>19.949668862364319</c:v>
                </c:pt>
                <c:pt idx="30">
                  <c:v>19.995471376567082</c:v>
                </c:pt>
                <c:pt idx="31">
                  <c:v>20.040940765196183</c:v>
                </c:pt>
                <c:pt idx="32">
                  <c:v>20.086081920271511</c:v>
                </c:pt>
                <c:pt idx="33">
                  <c:v>20.130899606848402</c:v>
                </c:pt>
                <c:pt idx="34">
                  <c:v>20.175398467626792</c:v>
                </c:pt>
                <c:pt idx="35">
                  <c:v>20.219583027346744</c:v>
                </c:pt>
                <c:pt idx="36">
                  <c:v>20.263457696981504</c:v>
                </c:pt>
                <c:pt idx="37">
                  <c:v>20.307026777740703</c:v>
                </c:pt>
                <c:pt idx="38">
                  <c:v>20.350294464892897</c:v>
                </c:pt>
                <c:pt idx="39">
                  <c:v>20.393264851418508</c:v>
                </c:pt>
                <c:pt idx="40">
                  <c:v>20.435941931501361</c:v>
                </c:pt>
              </c:numCache>
            </c:numRef>
          </c:xVal>
          <c:yVal>
            <c:numRef>
              <c:f>Standortgrafik!$J$18:$J$60</c:f>
              <c:numCache>
                <c:formatCode>#,##0.00\ _€</c:formatCode>
                <c:ptCount val="43"/>
                <c:pt idx="0">
                  <c:v>36.320208743365662</c:v>
                </c:pt>
                <c:pt idx="1">
                  <c:v>36.295208743365663</c:v>
                </c:pt>
                <c:pt idx="2">
                  <c:v>36.270208743365664</c:v>
                </c:pt>
                <c:pt idx="3">
                  <c:v>36.245208743365666</c:v>
                </c:pt>
                <c:pt idx="4">
                  <c:v>36.220208743365667</c:v>
                </c:pt>
                <c:pt idx="5">
                  <c:v>36.195208743365669</c:v>
                </c:pt>
                <c:pt idx="6">
                  <c:v>36.17020874336567</c:v>
                </c:pt>
                <c:pt idx="7">
                  <c:v>36.145208743365671</c:v>
                </c:pt>
                <c:pt idx="8">
                  <c:v>36.120208743365673</c:v>
                </c:pt>
                <c:pt idx="9">
                  <c:v>36.095208743365674</c:v>
                </c:pt>
                <c:pt idx="10">
                  <c:v>36.070208743365676</c:v>
                </c:pt>
                <c:pt idx="11">
                  <c:v>36.045208743365677</c:v>
                </c:pt>
                <c:pt idx="12">
                  <c:v>36.020208743365679</c:v>
                </c:pt>
                <c:pt idx="13">
                  <c:v>35.99520874336568</c:v>
                </c:pt>
                <c:pt idx="14">
                  <c:v>35.970208743365681</c:v>
                </c:pt>
                <c:pt idx="15">
                  <c:v>35.945208743365683</c:v>
                </c:pt>
                <c:pt idx="16">
                  <c:v>35.920208743365684</c:v>
                </c:pt>
                <c:pt idx="17">
                  <c:v>35.895208743365686</c:v>
                </c:pt>
                <c:pt idx="18">
                  <c:v>35.870208743365687</c:v>
                </c:pt>
                <c:pt idx="19">
                  <c:v>35.845208743365689</c:v>
                </c:pt>
                <c:pt idx="20">
                  <c:v>35.82020874336569</c:v>
                </c:pt>
                <c:pt idx="21">
                  <c:v>35.795208743365691</c:v>
                </c:pt>
                <c:pt idx="22">
                  <c:v>35.770208743365693</c:v>
                </c:pt>
                <c:pt idx="23">
                  <c:v>35.745208743365694</c:v>
                </c:pt>
                <c:pt idx="24">
                  <c:v>35.720208743365696</c:v>
                </c:pt>
                <c:pt idx="25">
                  <c:v>35.695208743365697</c:v>
                </c:pt>
                <c:pt idx="26">
                  <c:v>35.670208743365698</c:v>
                </c:pt>
                <c:pt idx="27">
                  <c:v>35.6452087433657</c:v>
                </c:pt>
                <c:pt idx="28">
                  <c:v>35.620208743365701</c:v>
                </c:pt>
                <c:pt idx="29">
                  <c:v>35.595208743365703</c:v>
                </c:pt>
                <c:pt idx="30">
                  <c:v>35.570208743365704</c:v>
                </c:pt>
                <c:pt idx="31">
                  <c:v>35.545208743365706</c:v>
                </c:pt>
                <c:pt idx="32">
                  <c:v>35.520208743365707</c:v>
                </c:pt>
                <c:pt idx="33">
                  <c:v>35.495208743365708</c:v>
                </c:pt>
                <c:pt idx="34">
                  <c:v>35.47020874336571</c:v>
                </c:pt>
                <c:pt idx="35">
                  <c:v>35.445208743365711</c:v>
                </c:pt>
                <c:pt idx="36">
                  <c:v>35.420208743365713</c:v>
                </c:pt>
                <c:pt idx="37">
                  <c:v>35.395208743365714</c:v>
                </c:pt>
                <c:pt idx="38">
                  <c:v>35.370208743365716</c:v>
                </c:pt>
                <c:pt idx="39">
                  <c:v>35.345208743365717</c:v>
                </c:pt>
                <c:pt idx="40">
                  <c:v>35.320208743365718</c:v>
                </c:pt>
                <c:pt idx="41">
                  <c:v>35.846255970015726</c:v>
                </c:pt>
                <c:pt idx="42">
                  <c:v>35.794161516715647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04B8-BA4B-B60E-1C15A8AB85BF}"/>
            </c:ext>
          </c:extLst>
        </c:ser>
        <c:ser>
          <c:idx val="1"/>
          <c:order val="2"/>
          <c:tx>
            <c:strRef>
              <c:f>Standortgrafik!$Q$17</c:f>
              <c:strCache>
                <c:ptCount val="1"/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Standortgrafik!$Q$18:$Q$60</c:f>
              <c:numCache>
                <c:formatCode>0.00</c:formatCode>
                <c:ptCount val="43"/>
                <c:pt idx="0">
                  <c:v>19.732840398800818</c:v>
                </c:pt>
                <c:pt idx="1">
                  <c:v>19.724961126440519</c:v>
                </c:pt>
                <c:pt idx="2">
                  <c:v>19.71710879093655</c:v>
                </c:pt>
                <c:pt idx="3">
                  <c:v>19.709283349583643</c:v>
                </c:pt>
                <c:pt idx="4">
                  <c:v>19.701484759821483</c:v>
                </c:pt>
                <c:pt idx="5">
                  <c:v>19.693712979234249</c:v>
                </c:pt>
                <c:pt idx="6">
                  <c:v>19.685967965549708</c:v>
                </c:pt>
                <c:pt idx="7">
                  <c:v>19.678249676638984</c:v>
                </c:pt>
                <c:pt idx="8">
                  <c:v>19.670558070515995</c:v>
                </c:pt>
                <c:pt idx="9">
                  <c:v>19.662893105336536</c:v>
                </c:pt>
                <c:pt idx="10">
                  <c:v>19.65525473939806</c:v>
                </c:pt>
                <c:pt idx="11">
                  <c:v>19.64764293113916</c:v>
                </c:pt>
                <c:pt idx="12">
                  <c:v>19.640057639138831</c:v>
                </c:pt>
                <c:pt idx="13">
                  <c:v>19.632498822115906</c:v>
                </c:pt>
                <c:pt idx="14">
                  <c:v>19.624966438928595</c:v>
                </c:pt>
                <c:pt idx="15">
                  <c:v>19.617460448574093</c:v>
                </c:pt>
                <c:pt idx="16">
                  <c:v>19.609980810187835</c:v>
                </c:pt>
                <c:pt idx="17">
                  <c:v>19.602527483043048</c:v>
                </c:pt>
                <c:pt idx="18">
                  <c:v>19.595100426550118</c:v>
                </c:pt>
                <c:pt idx="19">
                  <c:v>19.587699600256201</c:v>
                </c:pt>
                <c:pt idx="20">
                  <c:v>19.580324963844646</c:v>
                </c:pt>
                <c:pt idx="21">
                  <c:v>19.572976477134489</c:v>
                </c:pt>
                <c:pt idx="22">
                  <c:v>19.565654100079939</c:v>
                </c:pt>
                <c:pt idx="23">
                  <c:v>19.558357792769755</c:v>
                </c:pt>
                <c:pt idx="24">
                  <c:v>19.551087515426843</c:v>
                </c:pt>
                <c:pt idx="25">
                  <c:v>19.543843228407752</c:v>
                </c:pt>
                <c:pt idx="26">
                  <c:v>19.536624892202099</c:v>
                </c:pt>
                <c:pt idx="27">
                  <c:v>19.529432467432173</c:v>
                </c:pt>
                <c:pt idx="28">
                  <c:v>19.522265914852255</c:v>
                </c:pt>
                <c:pt idx="29">
                  <c:v>19.515125195348162</c:v>
                </c:pt>
                <c:pt idx="30">
                  <c:v>19.508010269937074</c:v>
                </c:pt>
                <c:pt idx="31">
                  <c:v>19.500921099766458</c:v>
                </c:pt>
                <c:pt idx="32">
                  <c:v>19.493857646114122</c:v>
                </c:pt>
                <c:pt idx="33">
                  <c:v>19.486819870387365</c:v>
                </c:pt>
                <c:pt idx="34">
                  <c:v>19.479807734122573</c:v>
                </c:pt>
                <c:pt idx="35">
                  <c:v>19.472821198984946</c:v>
                </c:pt>
                <c:pt idx="36">
                  <c:v>19.465860226767802</c:v>
                </c:pt>
                <c:pt idx="37">
                  <c:v>19.458924779392078</c:v>
                </c:pt>
                <c:pt idx="38">
                  <c:v>19.452014818905866</c:v>
                </c:pt>
                <c:pt idx="39">
                  <c:v>19.445130307484021</c:v>
                </c:pt>
                <c:pt idx="40">
                  <c:v>19.438271207427931</c:v>
                </c:pt>
              </c:numCache>
            </c:numRef>
          </c:xVal>
          <c:yVal>
            <c:numRef>
              <c:f>Standortgrafik!$J$18:$J$60</c:f>
              <c:numCache>
                <c:formatCode>#,##0.00\ _€</c:formatCode>
                <c:ptCount val="43"/>
                <c:pt idx="0">
                  <c:v>36.320208743365662</c:v>
                </c:pt>
                <c:pt idx="1">
                  <c:v>36.295208743365663</c:v>
                </c:pt>
                <c:pt idx="2">
                  <c:v>36.270208743365664</c:v>
                </c:pt>
                <c:pt idx="3">
                  <c:v>36.245208743365666</c:v>
                </c:pt>
                <c:pt idx="4">
                  <c:v>36.220208743365667</c:v>
                </c:pt>
                <c:pt idx="5">
                  <c:v>36.195208743365669</c:v>
                </c:pt>
                <c:pt idx="6">
                  <c:v>36.17020874336567</c:v>
                </c:pt>
                <c:pt idx="7">
                  <c:v>36.145208743365671</c:v>
                </c:pt>
                <c:pt idx="8">
                  <c:v>36.120208743365673</c:v>
                </c:pt>
                <c:pt idx="9">
                  <c:v>36.095208743365674</c:v>
                </c:pt>
                <c:pt idx="10">
                  <c:v>36.070208743365676</c:v>
                </c:pt>
                <c:pt idx="11">
                  <c:v>36.045208743365677</c:v>
                </c:pt>
                <c:pt idx="12">
                  <c:v>36.020208743365679</c:v>
                </c:pt>
                <c:pt idx="13">
                  <c:v>35.99520874336568</c:v>
                </c:pt>
                <c:pt idx="14">
                  <c:v>35.970208743365681</c:v>
                </c:pt>
                <c:pt idx="15">
                  <c:v>35.945208743365683</c:v>
                </c:pt>
                <c:pt idx="16">
                  <c:v>35.920208743365684</c:v>
                </c:pt>
                <c:pt idx="17">
                  <c:v>35.895208743365686</c:v>
                </c:pt>
                <c:pt idx="18">
                  <c:v>35.870208743365687</c:v>
                </c:pt>
                <c:pt idx="19">
                  <c:v>35.845208743365689</c:v>
                </c:pt>
                <c:pt idx="20">
                  <c:v>35.82020874336569</c:v>
                </c:pt>
                <c:pt idx="21">
                  <c:v>35.795208743365691</c:v>
                </c:pt>
                <c:pt idx="22">
                  <c:v>35.770208743365693</c:v>
                </c:pt>
                <c:pt idx="23">
                  <c:v>35.745208743365694</c:v>
                </c:pt>
                <c:pt idx="24">
                  <c:v>35.720208743365696</c:v>
                </c:pt>
                <c:pt idx="25">
                  <c:v>35.695208743365697</c:v>
                </c:pt>
                <c:pt idx="26">
                  <c:v>35.670208743365698</c:v>
                </c:pt>
                <c:pt idx="27">
                  <c:v>35.6452087433657</c:v>
                </c:pt>
                <c:pt idx="28">
                  <c:v>35.620208743365701</c:v>
                </c:pt>
                <c:pt idx="29">
                  <c:v>35.595208743365703</c:v>
                </c:pt>
                <c:pt idx="30">
                  <c:v>35.570208743365704</c:v>
                </c:pt>
                <c:pt idx="31">
                  <c:v>35.545208743365706</c:v>
                </c:pt>
                <c:pt idx="32">
                  <c:v>35.520208743365707</c:v>
                </c:pt>
                <c:pt idx="33">
                  <c:v>35.495208743365708</c:v>
                </c:pt>
                <c:pt idx="34">
                  <c:v>35.47020874336571</c:v>
                </c:pt>
                <c:pt idx="35">
                  <c:v>35.445208743365711</c:v>
                </c:pt>
                <c:pt idx="36">
                  <c:v>35.420208743365713</c:v>
                </c:pt>
                <c:pt idx="37">
                  <c:v>35.395208743365714</c:v>
                </c:pt>
                <c:pt idx="38">
                  <c:v>35.370208743365716</c:v>
                </c:pt>
                <c:pt idx="39">
                  <c:v>35.345208743365717</c:v>
                </c:pt>
                <c:pt idx="40">
                  <c:v>35.320208743365718</c:v>
                </c:pt>
                <c:pt idx="41">
                  <c:v>35.846255970015726</c:v>
                </c:pt>
                <c:pt idx="42">
                  <c:v>35.794161516715647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04B8-BA4B-B60E-1C15A8AB85BF}"/>
            </c:ext>
          </c:extLst>
        </c:ser>
        <c:ser>
          <c:idx val="2"/>
          <c:order val="3"/>
          <c:tx>
            <c:strRef>
              <c:f>Standortgrafik!$R$17</c:f>
              <c:strCache>
                <c:ptCount val="1"/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42"/>
            <c:marker>
              <c:symbol val="none"/>
            </c:marker>
            <c:bubble3D val="0"/>
            <c:spPr>
              <a:ln w="19050" cap="rnd">
                <a:solidFill>
                  <a:srgbClr val="0070C0"/>
                </a:solidFill>
                <a:round/>
                <a:tailEnd type="stealth" w="lg" len="lg"/>
              </a:ln>
              <a:effectLst/>
            </c:spPr>
            <c:extLst>
              <c:ext xmlns:c16="http://schemas.microsoft.com/office/drawing/2014/chart" uri="{C3380CC4-5D6E-409C-BE32-E72D297353CC}">
                <c16:uniqueId val="{0000000D-04B8-BA4B-B60E-1C15A8AB85BF}"/>
              </c:ext>
            </c:extLst>
          </c:dPt>
          <c:xVal>
            <c:numRef>
              <c:f>Standortgrafik!$R$18:$R$60</c:f>
              <c:numCache>
                <c:formatCode>General</c:formatCode>
                <c:ptCount val="43"/>
                <c:pt idx="41" formatCode="0.00">
                  <c:v>19.936907660848675</c:v>
                </c:pt>
                <c:pt idx="42" formatCode="0.00">
                  <c:v>19.572669225930113</c:v>
                </c:pt>
              </c:numCache>
            </c:numRef>
          </c:xVal>
          <c:yVal>
            <c:numRef>
              <c:f>Standortgrafik!$J$18:$J$60</c:f>
              <c:numCache>
                <c:formatCode>#,##0.00\ _€</c:formatCode>
                <c:ptCount val="43"/>
                <c:pt idx="0">
                  <c:v>36.320208743365662</c:v>
                </c:pt>
                <c:pt idx="1">
                  <c:v>36.295208743365663</c:v>
                </c:pt>
                <c:pt idx="2">
                  <c:v>36.270208743365664</c:v>
                </c:pt>
                <c:pt idx="3">
                  <c:v>36.245208743365666</c:v>
                </c:pt>
                <c:pt idx="4">
                  <c:v>36.220208743365667</c:v>
                </c:pt>
                <c:pt idx="5">
                  <c:v>36.195208743365669</c:v>
                </c:pt>
                <c:pt idx="6">
                  <c:v>36.17020874336567</c:v>
                </c:pt>
                <c:pt idx="7">
                  <c:v>36.145208743365671</c:v>
                </c:pt>
                <c:pt idx="8">
                  <c:v>36.120208743365673</c:v>
                </c:pt>
                <c:pt idx="9">
                  <c:v>36.095208743365674</c:v>
                </c:pt>
                <c:pt idx="10">
                  <c:v>36.070208743365676</c:v>
                </c:pt>
                <c:pt idx="11">
                  <c:v>36.045208743365677</c:v>
                </c:pt>
                <c:pt idx="12">
                  <c:v>36.020208743365679</c:v>
                </c:pt>
                <c:pt idx="13">
                  <c:v>35.99520874336568</c:v>
                </c:pt>
                <c:pt idx="14">
                  <c:v>35.970208743365681</c:v>
                </c:pt>
                <c:pt idx="15">
                  <c:v>35.945208743365683</c:v>
                </c:pt>
                <c:pt idx="16">
                  <c:v>35.920208743365684</c:v>
                </c:pt>
                <c:pt idx="17">
                  <c:v>35.895208743365686</c:v>
                </c:pt>
                <c:pt idx="18">
                  <c:v>35.870208743365687</c:v>
                </c:pt>
                <c:pt idx="19">
                  <c:v>35.845208743365689</c:v>
                </c:pt>
                <c:pt idx="20">
                  <c:v>35.82020874336569</c:v>
                </c:pt>
                <c:pt idx="21">
                  <c:v>35.795208743365691</c:v>
                </c:pt>
                <c:pt idx="22">
                  <c:v>35.770208743365693</c:v>
                </c:pt>
                <c:pt idx="23">
                  <c:v>35.745208743365694</c:v>
                </c:pt>
                <c:pt idx="24">
                  <c:v>35.720208743365696</c:v>
                </c:pt>
                <c:pt idx="25">
                  <c:v>35.695208743365697</c:v>
                </c:pt>
                <c:pt idx="26">
                  <c:v>35.670208743365698</c:v>
                </c:pt>
                <c:pt idx="27">
                  <c:v>35.6452087433657</c:v>
                </c:pt>
                <c:pt idx="28">
                  <c:v>35.620208743365701</c:v>
                </c:pt>
                <c:pt idx="29">
                  <c:v>35.595208743365703</c:v>
                </c:pt>
                <c:pt idx="30">
                  <c:v>35.570208743365704</c:v>
                </c:pt>
                <c:pt idx="31">
                  <c:v>35.545208743365706</c:v>
                </c:pt>
                <c:pt idx="32">
                  <c:v>35.520208743365707</c:v>
                </c:pt>
                <c:pt idx="33">
                  <c:v>35.495208743365708</c:v>
                </c:pt>
                <c:pt idx="34">
                  <c:v>35.47020874336571</c:v>
                </c:pt>
                <c:pt idx="35">
                  <c:v>35.445208743365711</c:v>
                </c:pt>
                <c:pt idx="36">
                  <c:v>35.420208743365713</c:v>
                </c:pt>
                <c:pt idx="37">
                  <c:v>35.395208743365714</c:v>
                </c:pt>
                <c:pt idx="38">
                  <c:v>35.370208743365716</c:v>
                </c:pt>
                <c:pt idx="39">
                  <c:v>35.345208743365717</c:v>
                </c:pt>
                <c:pt idx="40">
                  <c:v>35.320208743365718</c:v>
                </c:pt>
                <c:pt idx="41">
                  <c:v>35.846255970015726</c:v>
                </c:pt>
                <c:pt idx="42">
                  <c:v>35.794161516715647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04B8-BA4B-B60E-1C15A8AB85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5045856"/>
        <c:axId val="1385133584"/>
      </c:scatterChart>
      <c:valAx>
        <c:axId val="13850458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.0\°_ ;[Red]\-0.0\°\ 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Helvetica Neue" panose="02000503000000020004" pitchFamily="2" charset="0"/>
                <a:ea typeface="Helvetica Neue" panose="02000503000000020004" pitchFamily="2" charset="0"/>
                <a:cs typeface="Helvetica Neue" panose="02000503000000020004" pitchFamily="2" charset="0"/>
              </a:defRPr>
            </a:pPr>
            <a:endParaRPr lang="de-DE"/>
          </a:p>
        </c:txPr>
        <c:crossAx val="1385133584"/>
        <c:crosses val="autoZero"/>
        <c:crossBetween val="midCat"/>
        <c:majorUnit val="4"/>
        <c:minorUnit val="2"/>
      </c:valAx>
      <c:valAx>
        <c:axId val="1385133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.0\°_ ;[Red]\-0.0\°\ 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Helvetica Neue" panose="02000503000000020004" pitchFamily="2" charset="0"/>
                <a:ea typeface="Helvetica Neue" panose="02000503000000020004" pitchFamily="2" charset="0"/>
                <a:cs typeface="Helvetica Neue" panose="02000503000000020004" pitchFamily="2" charset="0"/>
              </a:defRPr>
            </a:pPr>
            <a:endParaRPr lang="de-DE"/>
          </a:p>
        </c:txPr>
        <c:crossAx val="1385045856"/>
        <c:crosses val="autoZero"/>
        <c:crossBetween val="midCat"/>
        <c:majorUnit val="0.5"/>
        <c:minorUnit val="0.16660000000000003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C00000"/>
      </a:solidFill>
      <a:round/>
    </a:ln>
    <a:effectLst>
      <a:outerShdw blurRad="50800" dist="50800" dir="5400000" algn="ctr" rotWithShape="0">
        <a:schemeClr val="bg1"/>
      </a:outerShdw>
    </a:effectLst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882708810334875E-2"/>
          <c:y val="1.6340839581893335E-2"/>
          <c:w val="0.86166452597680609"/>
          <c:h val="0.96264283025484187"/>
        </c:manualLayout>
      </c:layout>
      <c:scatterChart>
        <c:scatterStyle val="smoothMarker"/>
        <c:varyColors val="0"/>
        <c:ser>
          <c:idx val="0"/>
          <c:order val="0"/>
          <c:tx>
            <c:v>lamda 1s</c:v>
          </c:tx>
          <c:spPr>
            <a:ln w="19050" cap="rnd" cmpd="sng">
              <a:solidFill>
                <a:schemeClr val="accent6">
                  <a:lumMod val="40000"/>
                  <a:lumOff val="6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'globale Grafik'!$U$8:$U$193</c:f>
              <c:numCache>
                <c:formatCode>0.00</c:formatCode>
                <c:ptCount val="186"/>
                <c:pt idx="0">
                  <c:v>57.044982267149123</c:v>
                </c:pt>
                <c:pt idx="1">
                  <c:v>57.044982267149123</c:v>
                </c:pt>
                <c:pt idx="2">
                  <c:v>62.367596508580675</c:v>
                </c:pt>
                <c:pt idx="3">
                  <c:v>65.282188805207795</c:v>
                </c:pt>
                <c:pt idx="4">
                  <c:v>67.429628299604133</c:v>
                </c:pt>
                <c:pt idx="5">
                  <c:v>69.189319163512607</c:v>
                </c:pt>
                <c:pt idx="6">
                  <c:v>70.701594743710302</c:v>
                </c:pt>
                <c:pt idx="7">
                  <c:v>72.037269096886746</c:v>
                </c:pt>
                <c:pt idx="8">
                  <c:v>73.238149342624183</c:v>
                </c:pt>
                <c:pt idx="9">
                  <c:v>74.331435834554554</c:v>
                </c:pt>
                <c:pt idx="10">
                  <c:v>75.336044553821239</c:v>
                </c:pt>
                <c:pt idx="11">
                  <c:v>76.265786601066679</c:v>
                </c:pt>
                <c:pt idx="12">
                  <c:v>77.131128018671575</c:v>
                </c:pt>
                <c:pt idx="13">
                  <c:v>77.940236304631981</c:v>
                </c:pt>
                <c:pt idx="14">
                  <c:v>78.699638541095908</c:v>
                </c:pt>
                <c:pt idx="15">
                  <c:v>79.414654288575036</c:v>
                </c:pt>
                <c:pt idx="16">
                  <c:v>80.089691035391695</c:v>
                </c:pt>
                <c:pt idx="17">
                  <c:v>80.728452169938009</c:v>
                </c:pt>
                <c:pt idx="18">
                  <c:v>81.334087272667034</c:v>
                </c:pt>
                <c:pt idx="19">
                  <c:v>81.909303209351606</c:v>
                </c:pt>
                <c:pt idx="20">
                  <c:v>82.456447881469387</c:v>
                </c:pt>
                <c:pt idx="21">
                  <c:v>82.977574464455415</c:v>
                </c:pt>
                <c:pt idx="22">
                  <c:v>83.474491439828171</c:v>
                </c:pt>
                <c:pt idx="23">
                  <c:v>83.948802098494355</c:v>
                </c:pt>
                <c:pt idx="24">
                  <c:v>84.401936115440378</c:v>
                </c:pt>
                <c:pt idx="25">
                  <c:v>84.83517506776775</c:v>
                </c:pt>
                <c:pt idx="26">
                  <c:v>85.249673265750573</c:v>
                </c:pt>
                <c:pt idx="27">
                  <c:v>85.646474913905934</c:v>
                </c:pt>
                <c:pt idx="28">
                  <c:v>86.026528367352284</c:v>
                </c:pt>
                <c:pt idx="29">
                  <c:v>86.390698066394862</c:v>
                </c:pt>
                <c:pt idx="30">
                  <c:v>86.739774598393012</c:v>
                </c:pt>
                <c:pt idx="31">
                  <c:v>87.07448323641853</c:v>
                </c:pt>
                <c:pt idx="32">
                  <c:v>87.395491229349432</c:v>
                </c:pt>
                <c:pt idx="33">
                  <c:v>87.703414061126693</c:v>
                </c:pt>
                <c:pt idx="34">
                  <c:v>87.998820853214397</c:v>
                </c:pt>
                <c:pt idx="35">
                  <c:v>88.282239050445412</c:v>
                </c:pt>
                <c:pt idx="36">
                  <c:v>88.554158503980943</c:v>
                </c:pt>
                <c:pt idx="37">
                  <c:v>88.815035044270985</c:v>
                </c:pt>
                <c:pt idx="38">
                  <c:v>89.065293620356101</c:v>
                </c:pt>
                <c:pt idx="39">
                  <c:v>89.305331068630437</c:v>
                </c:pt>
                <c:pt idx="40">
                  <c:v>89.535518563542155</c:v>
                </c:pt>
                <c:pt idx="41">
                  <c:v>89.756203794090936</c:v>
                </c:pt>
                <c:pt idx="42">
                  <c:v>89.967712902962774</c:v>
                </c:pt>
                <c:pt idx="43">
                  <c:v>90.170352219392839</c:v>
                </c:pt>
                <c:pt idx="44">
                  <c:v>90.364409812109955</c:v>
                </c:pt>
                <c:pt idx="45">
                  <c:v>90.550156884800742</c:v>
                </c:pt>
                <c:pt idx="46">
                  <c:v>90.72784903326874</c:v>
                </c:pt>
                <c:pt idx="47">
                  <c:v>90.897727380742026</c:v>
                </c:pt>
                <c:pt idx="48">
                  <c:v>91.060019605498894</c:v>
                </c:pt>
                <c:pt idx="49">
                  <c:v>91.214940873054729</c:v>
                </c:pt>
                <c:pt idx="50">
                  <c:v>91.362694683525831</c:v>
                </c:pt>
                <c:pt idx="51">
                  <c:v>91.503473643402913</c:v>
                </c:pt>
                <c:pt idx="52">
                  <c:v>91.637460169788994</c:v>
                </c:pt>
                <c:pt idx="53">
                  <c:v>91.764827134147993</c:v>
                </c:pt>
                <c:pt idx="54">
                  <c:v>91.885738451747159</c:v>
                </c:pt>
                <c:pt idx="55">
                  <c:v>92.000349622232136</c:v>
                </c:pt>
                <c:pt idx="56">
                  <c:v>92.108808226129497</c:v>
                </c:pt>
                <c:pt idx="57">
                  <c:v>92.211254381518188</c:v>
                </c:pt>
                <c:pt idx="58">
                  <c:v>92.307821164625011</c:v>
                </c:pt>
                <c:pt idx="59">
                  <c:v>92.398634997681654</c:v>
                </c:pt>
                <c:pt idx="60">
                  <c:v>92.483816007011058</c:v>
                </c:pt>
                <c:pt idx="61">
                  <c:v>92.563478353991229</c:v>
                </c:pt>
                <c:pt idx="62">
                  <c:v>92.637730541260737</c:v>
                </c:pt>
                <c:pt idx="63">
                  <c:v>92.70667569628398</c:v>
                </c:pt>
                <c:pt idx="64">
                  <c:v>92.770411834173217</c:v>
                </c:pt>
                <c:pt idx="65">
                  <c:v>92.829032101473274</c:v>
                </c:pt>
                <c:pt idx="66">
                  <c:v>92.882625002441046</c:v>
                </c:pt>
                <c:pt idx="67">
                  <c:v>92.931274609201864</c:v>
                </c:pt>
                <c:pt idx="68">
                  <c:v>92.9750607570287</c:v>
                </c:pt>
                <c:pt idx="69">
                  <c:v>93.014059225868493</c:v>
                </c:pt>
                <c:pt idx="70">
                  <c:v>93.048341909134763</c:v>
                </c:pt>
                <c:pt idx="71">
                  <c:v>93.077976970685484</c:v>
                </c:pt>
                <c:pt idx="72">
                  <c:v>93.103028990821656</c:v>
                </c:pt>
                <c:pt idx="73">
                  <c:v>93.123559102063098</c:v>
                </c:pt>
                <c:pt idx="74">
                  <c:v>93.13962511538665</c:v>
                </c:pt>
                <c:pt idx="75">
                  <c:v>93.151281637550085</c:v>
                </c:pt>
                <c:pt idx="76">
                  <c:v>93.158580180067247</c:v>
                </c:pt>
                <c:pt idx="77">
                  <c:v>93.16156926034688</c:v>
                </c:pt>
                <c:pt idx="78">
                  <c:v>93.160294495461812</c:v>
                </c:pt>
                <c:pt idx="79">
                  <c:v>93.154798688969947</c:v>
                </c:pt>
                <c:pt idx="80">
                  <c:v>93.145121911171032</c:v>
                </c:pt>
                <c:pt idx="81">
                  <c:v>93.131301573145493</c:v>
                </c:pt>
                <c:pt idx="82">
                  <c:v>93.11337249488821</c:v>
                </c:pt>
                <c:pt idx="83">
                  <c:v>93.091366967820477</c:v>
                </c:pt>
                <c:pt idx="84">
                  <c:v>93.065314811933661</c:v>
                </c:pt>
                <c:pt idx="85">
                  <c:v>93.035243427791102</c:v>
                </c:pt>
                <c:pt idx="86">
                  <c:v>93.001177843592984</c:v>
                </c:pt>
                <c:pt idx="87">
                  <c:v>92.963140757479891</c:v>
                </c:pt>
                <c:pt idx="88">
                  <c:v>92.921152575235624</c:v>
                </c:pt>
                <c:pt idx="89">
                  <c:v>92.875231443523091</c:v>
                </c:pt>
                <c:pt idx="90">
                  <c:v>92.82539327877106</c:v>
                </c:pt>
                <c:pt idx="91">
                  <c:v>92.771651791807926</c:v>
                </c:pt>
                <c:pt idx="92">
                  <c:v>92.714018508322226</c:v>
                </c:pt>
                <c:pt idx="93">
                  <c:v>92.652502785210004</c:v>
                </c:pt>
                <c:pt idx="94">
                  <c:v>92.587111822851909</c:v>
                </c:pt>
                <c:pt idx="95">
                  <c:v>92.517850673346913</c:v>
                </c:pt>
                <c:pt idx="96">
                  <c:v>92.44472224470951</c:v>
                </c:pt>
                <c:pt idx="97">
                  <c:v>92.367727301021716</c:v>
                </c:pt>
                <c:pt idx="98">
                  <c:v>92.28686445851497</c:v>
                </c:pt>
                <c:pt idx="99">
                  <c:v>92.202130177533661</c:v>
                </c:pt>
                <c:pt idx="100">
                  <c:v>92.113518750321475</c:v>
                </c:pt>
                <c:pt idx="101">
                  <c:v>92.021022284545268</c:v>
                </c:pt>
                <c:pt idx="102">
                  <c:v>91.924630682456041</c:v>
                </c:pt>
                <c:pt idx="103">
                  <c:v>91.824331615564745</c:v>
                </c:pt>
                <c:pt idx="104">
                  <c:v>91.72011049468648</c:v>
                </c:pt>
                <c:pt idx="105">
                  <c:v>91.611950435187282</c:v>
                </c:pt>
                <c:pt idx="106">
                  <c:v>91.499832217238634</c:v>
                </c:pt>
                <c:pt idx="107">
                  <c:v>91.383734240861884</c:v>
                </c:pt>
                <c:pt idx="108">
                  <c:v>91.263632475512509</c:v>
                </c:pt>
                <c:pt idx="109">
                  <c:v>91.139500403925524</c:v>
                </c:pt>
                <c:pt idx="110">
                  <c:v>91.011308959908717</c:v>
                </c:pt>
                <c:pt idx="111">
                  <c:v>90.87902645973162</c:v>
                </c:pt>
                <c:pt idx="112">
                  <c:v>90.742618526720378</c:v>
                </c:pt>
                <c:pt idx="113">
                  <c:v>90.602048008621523</c:v>
                </c:pt>
                <c:pt idx="114">
                  <c:v>90.457274887249355</c:v>
                </c:pt>
                <c:pt idx="115">
                  <c:v>90.308256179877844</c:v>
                </c:pt>
                <c:pt idx="116">
                  <c:v>90.154945831775251</c:v>
                </c:pt>
                <c:pt idx="117">
                  <c:v>89.997294599215365</c:v>
                </c:pt>
                <c:pt idx="118">
                  <c:v>89.835249922221124</c:v>
                </c:pt>
                <c:pt idx="119">
                  <c:v>89.668755786214888</c:v>
                </c:pt>
                <c:pt idx="120">
                  <c:v>89.497752571654303</c:v>
                </c:pt>
                <c:pt idx="121">
                  <c:v>89.322176890626963</c:v>
                </c:pt>
                <c:pt idx="122">
                  <c:v>89.14196140925884</c:v>
                </c:pt>
                <c:pt idx="123">
                  <c:v>88.957034654655956</c:v>
                </c:pt>
                <c:pt idx="124">
                  <c:v>88.767320804947701</c:v>
                </c:pt>
                <c:pt idx="125">
                  <c:v>88.572739460825971</c:v>
                </c:pt>
                <c:pt idx="126">
                  <c:v>88.373205396780179</c:v>
                </c:pt>
                <c:pt idx="127">
                  <c:v>88.168628290002005</c:v>
                </c:pt>
                <c:pt idx="128">
                  <c:v>87.95891242467934</c:v>
                </c:pt>
                <c:pt idx="129">
                  <c:v>87.743956369104467</c:v>
                </c:pt>
                <c:pt idx="130">
                  <c:v>87.523652622684608</c:v>
                </c:pt>
                <c:pt idx="131">
                  <c:v>87.297887229554647</c:v>
                </c:pt>
                <c:pt idx="132">
                  <c:v>87.066539355041641</c:v>
                </c:pt>
                <c:pt idx="133">
                  <c:v>86.82948082071033</c:v>
                </c:pt>
                <c:pt idx="134">
                  <c:v>86.586575593112968</c:v>
                </c:pt>
                <c:pt idx="135">
                  <c:v>86.337679220660334</c:v>
                </c:pt>
                <c:pt idx="136">
                  <c:v>86.082638212202596</c:v>
                </c:pt>
                <c:pt idx="137">
                  <c:v>85.821289349937615</c:v>
                </c:pt>
                <c:pt idx="138">
                  <c:v>85.553458928120278</c:v>
                </c:pt>
                <c:pt idx="139">
                  <c:v>85.278961907686494</c:v>
                </c:pt>
                <c:pt idx="140">
                  <c:v>84.997600975301793</c:v>
                </c:pt>
                <c:pt idx="141">
                  <c:v>84.709165493418709</c:v>
                </c:pt>
                <c:pt idx="142">
                  <c:v>84.413430325627814</c:v>
                </c:pt>
                <c:pt idx="143">
                  <c:v>84.110154518821048</c:v>
                </c:pt>
                <c:pt idx="144">
                  <c:v>83.799079820333986</c:v>
                </c:pt>
                <c:pt idx="145">
                  <c:v>83.479929004168127</c:v>
                </c:pt>
                <c:pt idx="146">
                  <c:v>83.152403975425216</c:v>
                </c:pt>
                <c:pt idx="147">
                  <c:v>82.816183615977366</c:v>
                </c:pt>
                <c:pt idx="148">
                  <c:v>82.470921326857024</c:v>
                </c:pt>
                <c:pt idx="149">
                  <c:v>82.116242213468581</c:v>
                </c:pt>
                <c:pt idx="150">
                  <c:v>81.751739847985448</c:v>
                </c:pt>
                <c:pt idx="151">
                  <c:v>81.376972528499948</c:v>
                </c:pt>
                <c:pt idx="152">
                  <c:v>80.99145893570568</c:v>
                </c:pt>
                <c:pt idx="153">
                  <c:v>80.594673063841753</c:v>
                </c:pt>
                <c:pt idx="154">
                  <c:v>80.186038271586824</c:v>
                </c:pt>
                <c:pt idx="155">
                  <c:v>79.764920258145366</c:v>
                </c:pt>
                <c:pt idx="156">
                  <c:v>79.330618716566619</c:v>
                </c:pt>
                <c:pt idx="157">
                  <c:v>78.882357345602998</c:v>
                </c:pt>
                <c:pt idx="158">
                  <c:v>78.419271806293466</c:v>
                </c:pt>
                <c:pt idx="159">
                  <c:v>77.940395079958819</c:v>
                </c:pt>
                <c:pt idx="160">
                  <c:v>77.444639505597763</c:v>
                </c:pt>
                <c:pt idx="161">
                  <c:v>76.930774524446406</c:v>
                </c:pt>
                <c:pt idx="162">
                  <c:v>76.397398803393571</c:v>
                </c:pt>
                <c:pt idx="163">
                  <c:v>75.842904893186187</c:v>
                </c:pt>
                <c:pt idx="164">
                  <c:v>75.26543381550249</c:v>
                </c:pt>
                <c:pt idx="165">
                  <c:v>74.662815822704431</c:v>
                </c:pt>
                <c:pt idx="166">
                  <c:v>74.032491794310715</c:v>
                </c:pt>
                <c:pt idx="167">
                  <c:v>73.37140690321803</c:v>
                </c:pt>
                <c:pt idx="168">
                  <c:v>72.675863537403586</c:v>
                </c:pt>
                <c:pt idx="169">
                  <c:v>71.941312552759427</c:v>
                </c:pt>
                <c:pt idx="170">
                  <c:v>71.162047890138581</c:v>
                </c:pt>
                <c:pt idx="171">
                  <c:v>70.33074339216796</c:v>
                </c:pt>
                <c:pt idx="172">
                  <c:v>69.43771878812862</c:v>
                </c:pt>
                <c:pt idx="173">
                  <c:v>68.469711380864624</c:v>
                </c:pt>
                <c:pt idx="174">
                  <c:v>67.407672353131318</c:v>
                </c:pt>
                <c:pt idx="175">
                  <c:v>66.222429802236718</c:v>
                </c:pt>
                <c:pt idx="176">
                  <c:v>64.864967860658339</c:v>
                </c:pt>
                <c:pt idx="177">
                  <c:v>63.239822837817769</c:v>
                </c:pt>
                <c:pt idx="178">
                  <c:v>61.10030305172711</c:v>
                </c:pt>
                <c:pt idx="179">
                  <c:v>56.770207314119489</c:v>
                </c:pt>
                <c:pt idx="180">
                  <c:v>56.770207314119489</c:v>
                </c:pt>
                <c:pt idx="181">
                  <c:v>56.770207314119489</c:v>
                </c:pt>
                <c:pt idx="182">
                  <c:v>56.770207314119489</c:v>
                </c:pt>
                <c:pt idx="183">
                  <c:v>56.770207314119489</c:v>
                </c:pt>
                <c:pt idx="184">
                  <c:v>56.770207314119489</c:v>
                </c:pt>
                <c:pt idx="185">
                  <c:v>56.770207314119489</c:v>
                </c:pt>
              </c:numCache>
            </c:numRef>
          </c:xVal>
          <c:yVal>
            <c:numRef>
              <c:f>'globale Grafik'!$M$8:$M$193</c:f>
              <c:numCache>
                <c:formatCode>0.00\°;[Red]0.00\°</c:formatCode>
                <c:ptCount val="186"/>
                <c:pt idx="0">
                  <c:v>56.214284919562225</c:v>
                </c:pt>
                <c:pt idx="1">
                  <c:v>56.214284919562225</c:v>
                </c:pt>
                <c:pt idx="2">
                  <c:v>55.88780241142296</c:v>
                </c:pt>
                <c:pt idx="3">
                  <c:v>55.504510882555373</c:v>
                </c:pt>
                <c:pt idx="4">
                  <c:v>55.121219353687785</c:v>
                </c:pt>
                <c:pt idx="5">
                  <c:v>54.737927824820197</c:v>
                </c:pt>
                <c:pt idx="6">
                  <c:v>54.354636295952609</c:v>
                </c:pt>
                <c:pt idx="7">
                  <c:v>53.971344767085021</c:v>
                </c:pt>
                <c:pt idx="8">
                  <c:v>53.588053238217434</c:v>
                </c:pt>
                <c:pt idx="9">
                  <c:v>53.204761709349846</c:v>
                </c:pt>
                <c:pt idx="10">
                  <c:v>52.821470180482258</c:v>
                </c:pt>
                <c:pt idx="11">
                  <c:v>52.43817865161467</c:v>
                </c:pt>
                <c:pt idx="12">
                  <c:v>52.054887122747083</c:v>
                </c:pt>
                <c:pt idx="13">
                  <c:v>51.671595593879495</c:v>
                </c:pt>
                <c:pt idx="14">
                  <c:v>51.288304065011907</c:v>
                </c:pt>
                <c:pt idx="15">
                  <c:v>50.905012536144319</c:v>
                </c:pt>
                <c:pt idx="16">
                  <c:v>50.521721007276732</c:v>
                </c:pt>
                <c:pt idx="17">
                  <c:v>50.138429478409144</c:v>
                </c:pt>
                <c:pt idx="18">
                  <c:v>49.755137949541556</c:v>
                </c:pt>
                <c:pt idx="19">
                  <c:v>49.371846420673968</c:v>
                </c:pt>
                <c:pt idx="20">
                  <c:v>48.98855489180638</c:v>
                </c:pt>
                <c:pt idx="21">
                  <c:v>48.605263362938793</c:v>
                </c:pt>
                <c:pt idx="22">
                  <c:v>48.221971834071205</c:v>
                </c:pt>
                <c:pt idx="23">
                  <c:v>47.838680305203617</c:v>
                </c:pt>
                <c:pt idx="24">
                  <c:v>47.455388776336029</c:v>
                </c:pt>
                <c:pt idx="25">
                  <c:v>47.072097247468442</c:v>
                </c:pt>
                <c:pt idx="26">
                  <c:v>46.688805718600854</c:v>
                </c:pt>
                <c:pt idx="27">
                  <c:v>46.305514189733266</c:v>
                </c:pt>
                <c:pt idx="28">
                  <c:v>45.922222660865678</c:v>
                </c:pt>
                <c:pt idx="29">
                  <c:v>45.538931131998091</c:v>
                </c:pt>
                <c:pt idx="30">
                  <c:v>45.155639603130503</c:v>
                </c:pt>
                <c:pt idx="31">
                  <c:v>44.772348074262915</c:v>
                </c:pt>
                <c:pt idx="32">
                  <c:v>44.389056545395327</c:v>
                </c:pt>
                <c:pt idx="33">
                  <c:v>44.005765016527739</c:v>
                </c:pt>
                <c:pt idx="34">
                  <c:v>43.622473487660152</c:v>
                </c:pt>
                <c:pt idx="35">
                  <c:v>43.239181958792564</c:v>
                </c:pt>
                <c:pt idx="36">
                  <c:v>42.855890429924976</c:v>
                </c:pt>
                <c:pt idx="37">
                  <c:v>42.472598901057388</c:v>
                </c:pt>
                <c:pt idx="38">
                  <c:v>42.089307372189801</c:v>
                </c:pt>
                <c:pt idx="39">
                  <c:v>41.706015843322213</c:v>
                </c:pt>
                <c:pt idx="40">
                  <c:v>41.322724314454625</c:v>
                </c:pt>
                <c:pt idx="41">
                  <c:v>40.939432785587037</c:v>
                </c:pt>
                <c:pt idx="42">
                  <c:v>40.556141256719449</c:v>
                </c:pt>
                <c:pt idx="43">
                  <c:v>40.172849727851862</c:v>
                </c:pt>
                <c:pt idx="44">
                  <c:v>39.789558198984274</c:v>
                </c:pt>
                <c:pt idx="45">
                  <c:v>39.406266670116686</c:v>
                </c:pt>
                <c:pt idx="46">
                  <c:v>39.022975141249098</c:v>
                </c:pt>
                <c:pt idx="47">
                  <c:v>38.639683612381511</c:v>
                </c:pt>
                <c:pt idx="48">
                  <c:v>38.256392083513923</c:v>
                </c:pt>
                <c:pt idx="49">
                  <c:v>37.873100554646335</c:v>
                </c:pt>
                <c:pt idx="50">
                  <c:v>37.489809025778747</c:v>
                </c:pt>
                <c:pt idx="51">
                  <c:v>37.10651749691116</c:v>
                </c:pt>
                <c:pt idx="52">
                  <c:v>36.723225968043572</c:v>
                </c:pt>
                <c:pt idx="53">
                  <c:v>36.339934439175984</c:v>
                </c:pt>
                <c:pt idx="54">
                  <c:v>35.956642910308396</c:v>
                </c:pt>
                <c:pt idx="55">
                  <c:v>35.573351381440808</c:v>
                </c:pt>
                <c:pt idx="56">
                  <c:v>35.190059852573221</c:v>
                </c:pt>
                <c:pt idx="57">
                  <c:v>34.806768323705633</c:v>
                </c:pt>
                <c:pt idx="58">
                  <c:v>34.423476794838045</c:v>
                </c:pt>
                <c:pt idx="59">
                  <c:v>34.040185265970457</c:v>
                </c:pt>
                <c:pt idx="60">
                  <c:v>33.65689373710287</c:v>
                </c:pt>
                <c:pt idx="61">
                  <c:v>33.273602208235282</c:v>
                </c:pt>
                <c:pt idx="62">
                  <c:v>32.890310679367694</c:v>
                </c:pt>
                <c:pt idx="63">
                  <c:v>32.507019150500106</c:v>
                </c:pt>
                <c:pt idx="64">
                  <c:v>32.123727621632518</c:v>
                </c:pt>
                <c:pt idx="65">
                  <c:v>31.740436092764931</c:v>
                </c:pt>
                <c:pt idx="66">
                  <c:v>31.357144563897343</c:v>
                </c:pt>
                <c:pt idx="67">
                  <c:v>30.973853035029755</c:v>
                </c:pt>
                <c:pt idx="68">
                  <c:v>30.590561506162167</c:v>
                </c:pt>
                <c:pt idx="69">
                  <c:v>30.20726997729458</c:v>
                </c:pt>
                <c:pt idx="70">
                  <c:v>29.823978448426992</c:v>
                </c:pt>
                <c:pt idx="71">
                  <c:v>29.440686919559404</c:v>
                </c:pt>
                <c:pt idx="72">
                  <c:v>29.057395390691816</c:v>
                </c:pt>
                <c:pt idx="73">
                  <c:v>28.674103861824229</c:v>
                </c:pt>
                <c:pt idx="74">
                  <c:v>28.290812332956641</c:v>
                </c:pt>
                <c:pt idx="75">
                  <c:v>27.907520804089053</c:v>
                </c:pt>
                <c:pt idx="76">
                  <c:v>27.524229275221465</c:v>
                </c:pt>
                <c:pt idx="77">
                  <c:v>27.140937746353877</c:v>
                </c:pt>
                <c:pt idx="78">
                  <c:v>26.75764621748629</c:v>
                </c:pt>
                <c:pt idx="79">
                  <c:v>26.374354688618702</c:v>
                </c:pt>
                <c:pt idx="80">
                  <c:v>25.991063159751114</c:v>
                </c:pt>
                <c:pt idx="81">
                  <c:v>25.607771630883526</c:v>
                </c:pt>
                <c:pt idx="82">
                  <c:v>25.224480102015939</c:v>
                </c:pt>
                <c:pt idx="83">
                  <c:v>24.841188573148351</c:v>
                </c:pt>
                <c:pt idx="84">
                  <c:v>24.457897044280763</c:v>
                </c:pt>
                <c:pt idx="85">
                  <c:v>24.074605515413175</c:v>
                </c:pt>
                <c:pt idx="86">
                  <c:v>23.691313986545588</c:v>
                </c:pt>
                <c:pt idx="87">
                  <c:v>23.308022457678</c:v>
                </c:pt>
                <c:pt idx="88">
                  <c:v>22.924730928810412</c:v>
                </c:pt>
                <c:pt idx="89">
                  <c:v>22.541439399942824</c:v>
                </c:pt>
                <c:pt idx="90">
                  <c:v>22.158147871075236</c:v>
                </c:pt>
                <c:pt idx="91">
                  <c:v>21.774856342207649</c:v>
                </c:pt>
                <c:pt idx="92">
                  <c:v>21.391564813340061</c:v>
                </c:pt>
                <c:pt idx="93">
                  <c:v>21.008273284472473</c:v>
                </c:pt>
                <c:pt idx="94">
                  <c:v>20.624981755604885</c:v>
                </c:pt>
                <c:pt idx="95">
                  <c:v>20.241690226737298</c:v>
                </c:pt>
                <c:pt idx="96">
                  <c:v>19.85839869786971</c:v>
                </c:pt>
                <c:pt idx="97">
                  <c:v>19.475107169002122</c:v>
                </c:pt>
                <c:pt idx="98">
                  <c:v>19.091815640134534</c:v>
                </c:pt>
                <c:pt idx="99">
                  <c:v>18.708524111266946</c:v>
                </c:pt>
                <c:pt idx="100">
                  <c:v>18.325232582399359</c:v>
                </c:pt>
                <c:pt idx="101">
                  <c:v>17.941941053531771</c:v>
                </c:pt>
                <c:pt idx="102">
                  <c:v>17.558649524664183</c:v>
                </c:pt>
                <c:pt idx="103">
                  <c:v>17.175357995796595</c:v>
                </c:pt>
                <c:pt idx="104">
                  <c:v>16.792066466929008</c:v>
                </c:pt>
                <c:pt idx="105">
                  <c:v>16.40877493806142</c:v>
                </c:pt>
                <c:pt idx="106">
                  <c:v>16.025483409193832</c:v>
                </c:pt>
                <c:pt idx="107">
                  <c:v>15.642191880326244</c:v>
                </c:pt>
                <c:pt idx="108">
                  <c:v>15.258900351458657</c:v>
                </c:pt>
                <c:pt idx="109">
                  <c:v>14.875608822591069</c:v>
                </c:pt>
                <c:pt idx="110">
                  <c:v>14.492317293723481</c:v>
                </c:pt>
                <c:pt idx="111">
                  <c:v>14.109025764855893</c:v>
                </c:pt>
                <c:pt idx="112">
                  <c:v>13.725734235988305</c:v>
                </c:pt>
                <c:pt idx="113">
                  <c:v>13.342442707120718</c:v>
                </c:pt>
                <c:pt idx="114">
                  <c:v>12.95915117825313</c:v>
                </c:pt>
                <c:pt idx="115">
                  <c:v>12.575859649385542</c:v>
                </c:pt>
                <c:pt idx="116">
                  <c:v>12.192568120517954</c:v>
                </c:pt>
                <c:pt idx="117">
                  <c:v>11.809276591650367</c:v>
                </c:pt>
                <c:pt idx="118">
                  <c:v>11.425985062782779</c:v>
                </c:pt>
                <c:pt idx="119">
                  <c:v>11.042693533915191</c:v>
                </c:pt>
                <c:pt idx="120">
                  <c:v>10.659402005047603</c:v>
                </c:pt>
                <c:pt idx="121">
                  <c:v>10.276110476180015</c:v>
                </c:pt>
                <c:pt idx="122">
                  <c:v>9.8928189473124277</c:v>
                </c:pt>
                <c:pt idx="123">
                  <c:v>9.50952741844484</c:v>
                </c:pt>
                <c:pt idx="124">
                  <c:v>9.1262358895772522</c:v>
                </c:pt>
                <c:pt idx="125">
                  <c:v>8.7429443607096644</c:v>
                </c:pt>
                <c:pt idx="126">
                  <c:v>8.3596528318420766</c:v>
                </c:pt>
                <c:pt idx="127">
                  <c:v>7.976361302974488</c:v>
                </c:pt>
                <c:pt idx="128">
                  <c:v>7.5930697741068993</c:v>
                </c:pt>
                <c:pt idx="129">
                  <c:v>7.2097782452393107</c:v>
                </c:pt>
                <c:pt idx="130">
                  <c:v>6.826486716371722</c:v>
                </c:pt>
                <c:pt idx="131">
                  <c:v>6.4431951875041333</c:v>
                </c:pt>
                <c:pt idx="132">
                  <c:v>6.0599036586365447</c:v>
                </c:pt>
                <c:pt idx="133">
                  <c:v>5.676612129768956</c:v>
                </c:pt>
                <c:pt idx="134">
                  <c:v>5.2933206009013674</c:v>
                </c:pt>
                <c:pt idx="135">
                  <c:v>4.9100290720337787</c:v>
                </c:pt>
                <c:pt idx="136">
                  <c:v>4.52673754316619</c:v>
                </c:pt>
                <c:pt idx="137">
                  <c:v>4.1434460142986014</c:v>
                </c:pt>
                <c:pt idx="138">
                  <c:v>3.7601544854310132</c:v>
                </c:pt>
                <c:pt idx="139">
                  <c:v>3.3768629565634249</c:v>
                </c:pt>
                <c:pt idx="140">
                  <c:v>2.9935714276958367</c:v>
                </c:pt>
                <c:pt idx="141">
                  <c:v>2.6102798988282485</c:v>
                </c:pt>
                <c:pt idx="142">
                  <c:v>2.2269883699606603</c:v>
                </c:pt>
                <c:pt idx="143">
                  <c:v>1.8436968410930721</c:v>
                </c:pt>
                <c:pt idx="144">
                  <c:v>1.4604053122254839</c:v>
                </c:pt>
                <c:pt idx="145">
                  <c:v>1.0771137833578956</c:v>
                </c:pt>
                <c:pt idx="146">
                  <c:v>0.69382225449030743</c:v>
                </c:pt>
                <c:pt idx="147">
                  <c:v>0.31053072562271916</c:v>
                </c:pt>
                <c:pt idx="148">
                  <c:v>-7.276080324486911E-2</c:v>
                </c:pt>
                <c:pt idx="149">
                  <c:v>-0.45605233211245738</c:v>
                </c:pt>
                <c:pt idx="150">
                  <c:v>-0.83934386098004565</c:v>
                </c:pt>
                <c:pt idx="151">
                  <c:v>-1.2226353898476339</c:v>
                </c:pt>
                <c:pt idx="152">
                  <c:v>-1.6059269187152221</c:v>
                </c:pt>
                <c:pt idx="153">
                  <c:v>-1.9892184475828103</c:v>
                </c:pt>
                <c:pt idx="154">
                  <c:v>-2.3725099764503987</c:v>
                </c:pt>
                <c:pt idx="155">
                  <c:v>-2.755801505317987</c:v>
                </c:pt>
                <c:pt idx="156">
                  <c:v>-3.1390930341855752</c:v>
                </c:pt>
                <c:pt idx="157">
                  <c:v>-3.5223845630531634</c:v>
                </c:pt>
                <c:pt idx="158">
                  <c:v>-3.9056760919207516</c:v>
                </c:pt>
                <c:pt idx="159">
                  <c:v>-4.2889676207883403</c:v>
                </c:pt>
                <c:pt idx="160">
                  <c:v>-4.6722591496559289</c:v>
                </c:pt>
                <c:pt idx="161">
                  <c:v>-5.0555506785235176</c:v>
                </c:pt>
                <c:pt idx="162">
                  <c:v>-5.4388422073911062</c:v>
                </c:pt>
                <c:pt idx="163">
                  <c:v>-5.8221337362586949</c:v>
                </c:pt>
                <c:pt idx="164">
                  <c:v>-6.2054252651262836</c:v>
                </c:pt>
                <c:pt idx="165">
                  <c:v>-6.5887167939938722</c:v>
                </c:pt>
                <c:pt idx="166">
                  <c:v>-6.9720083228614609</c:v>
                </c:pt>
                <c:pt idx="167">
                  <c:v>-7.3552998517290495</c:v>
                </c:pt>
                <c:pt idx="168">
                  <c:v>-7.7385913805966382</c:v>
                </c:pt>
                <c:pt idx="169">
                  <c:v>-8.121882909464226</c:v>
                </c:pt>
                <c:pt idx="170">
                  <c:v>-8.5051744383318137</c:v>
                </c:pt>
                <c:pt idx="171">
                  <c:v>-8.8884659671994015</c:v>
                </c:pt>
                <c:pt idx="172">
                  <c:v>-9.2717574960669893</c:v>
                </c:pt>
                <c:pt idx="173">
                  <c:v>-9.6550490249345771</c:v>
                </c:pt>
                <c:pt idx="174">
                  <c:v>-10.038340553802165</c:v>
                </c:pt>
                <c:pt idx="175">
                  <c:v>-10.421632082669753</c:v>
                </c:pt>
                <c:pt idx="176">
                  <c:v>-10.80492361153734</c:v>
                </c:pt>
                <c:pt idx="177">
                  <c:v>-11.188215140404928</c:v>
                </c:pt>
                <c:pt idx="178">
                  <c:v>-11.571506669272516</c:v>
                </c:pt>
                <c:pt idx="179">
                  <c:v>-11.941054662610044</c:v>
                </c:pt>
                <c:pt idx="180">
                  <c:v>-11.941054662610044</c:v>
                </c:pt>
                <c:pt idx="181">
                  <c:v>-11.941054662610044</c:v>
                </c:pt>
                <c:pt idx="182">
                  <c:v>-11.941054662610044</c:v>
                </c:pt>
                <c:pt idx="183">
                  <c:v>-11.941054662610044</c:v>
                </c:pt>
                <c:pt idx="184">
                  <c:v>-11.941054662610044</c:v>
                </c:pt>
                <c:pt idx="185">
                  <c:v>-11.941054662610044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D39-4440-9FF5-395D9AC8DD4F}"/>
            </c:ext>
          </c:extLst>
        </c:ser>
        <c:ser>
          <c:idx val="1"/>
          <c:order val="1"/>
          <c:tx>
            <c:v>lamda 1</c:v>
          </c:tx>
          <c:spPr>
            <a:ln w="254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'globale Grafik'!$T$8:$T$193</c:f>
              <c:numCache>
                <c:formatCode>0.00</c:formatCode>
                <c:ptCount val="186"/>
                <c:pt idx="0">
                  <c:v>54.811858241569439</c:v>
                </c:pt>
                <c:pt idx="1">
                  <c:v>54.811858241569439</c:v>
                </c:pt>
                <c:pt idx="2">
                  <c:v>49.489244000137887</c:v>
                </c:pt>
                <c:pt idx="3">
                  <c:v>46.574651703510767</c:v>
                </c:pt>
                <c:pt idx="4">
                  <c:v>44.42721220911443</c:v>
                </c:pt>
                <c:pt idx="5">
                  <c:v>42.667521345205955</c:v>
                </c:pt>
                <c:pt idx="6">
                  <c:v>41.15524576500826</c:v>
                </c:pt>
                <c:pt idx="7">
                  <c:v>39.819571411831816</c:v>
                </c:pt>
                <c:pt idx="8">
                  <c:v>38.618691166094379</c:v>
                </c:pt>
                <c:pt idx="9">
                  <c:v>37.525404674164008</c:v>
                </c:pt>
                <c:pt idx="10">
                  <c:v>36.52079595489738</c:v>
                </c:pt>
                <c:pt idx="11">
                  <c:v>35.591053907651883</c:v>
                </c:pt>
                <c:pt idx="12">
                  <c:v>34.725712490046988</c:v>
                </c:pt>
                <c:pt idx="13">
                  <c:v>33.916604204086639</c:v>
                </c:pt>
                <c:pt idx="14">
                  <c:v>33.157201967622655</c:v>
                </c:pt>
                <c:pt idx="15">
                  <c:v>32.442186220143526</c:v>
                </c:pt>
                <c:pt idx="16">
                  <c:v>31.767149473326924</c:v>
                </c:pt>
                <c:pt idx="17">
                  <c:v>31.128388338780553</c:v>
                </c:pt>
                <c:pt idx="18">
                  <c:v>30.522753236051528</c:v>
                </c:pt>
                <c:pt idx="19">
                  <c:v>29.947537299366957</c:v>
                </c:pt>
                <c:pt idx="20">
                  <c:v>29.400392627249175</c:v>
                </c:pt>
                <c:pt idx="21">
                  <c:v>28.879266044263204</c:v>
                </c:pt>
                <c:pt idx="22">
                  <c:v>28.382349068890392</c:v>
                </c:pt>
                <c:pt idx="23">
                  <c:v>27.908038410224208</c:v>
                </c:pt>
                <c:pt idx="24">
                  <c:v>27.454904393278184</c:v>
                </c:pt>
                <c:pt idx="25">
                  <c:v>27.021665440950812</c:v>
                </c:pt>
                <c:pt idx="26">
                  <c:v>26.607167242967989</c:v>
                </c:pt>
                <c:pt idx="27">
                  <c:v>26.210365594812629</c:v>
                </c:pt>
                <c:pt idx="28">
                  <c:v>25.830312141366278</c:v>
                </c:pt>
                <c:pt idx="29">
                  <c:v>25.466142442323701</c:v>
                </c:pt>
                <c:pt idx="30">
                  <c:v>25.11706591032555</c:v>
                </c:pt>
                <c:pt idx="31">
                  <c:v>24.782357272300032</c:v>
                </c:pt>
                <c:pt idx="32">
                  <c:v>24.461349279369131</c:v>
                </c:pt>
                <c:pt idx="33">
                  <c:v>24.153426447591869</c:v>
                </c:pt>
                <c:pt idx="34">
                  <c:v>23.858019655504165</c:v>
                </c:pt>
                <c:pt idx="35">
                  <c:v>23.57460145827315</c:v>
                </c:pt>
                <c:pt idx="36">
                  <c:v>23.302682004737676</c:v>
                </c:pt>
                <c:pt idx="37">
                  <c:v>23.041805464447577</c:v>
                </c:pt>
                <c:pt idx="38">
                  <c:v>22.791546888362461</c:v>
                </c:pt>
                <c:pt idx="39">
                  <c:v>22.551509440088125</c:v>
                </c:pt>
                <c:pt idx="40">
                  <c:v>22.321321945176408</c:v>
                </c:pt>
                <c:pt idx="41">
                  <c:v>22.100636714627683</c:v>
                </c:pt>
                <c:pt idx="42">
                  <c:v>21.889127605755789</c:v>
                </c:pt>
                <c:pt idx="43">
                  <c:v>21.686488289325723</c:v>
                </c:pt>
                <c:pt idx="44">
                  <c:v>21.492430696608608</c:v>
                </c:pt>
                <c:pt idx="45">
                  <c:v>21.30668362391782</c:v>
                </c:pt>
                <c:pt idx="46">
                  <c:v>21.128991475449823</c:v>
                </c:pt>
                <c:pt idx="47">
                  <c:v>20.959113127976536</c:v>
                </c:pt>
                <c:pt idx="48">
                  <c:v>20.796820903219668</c:v>
                </c:pt>
                <c:pt idx="49">
                  <c:v>20.641899635663833</c:v>
                </c:pt>
                <c:pt idx="50">
                  <c:v>20.494145825192732</c:v>
                </c:pt>
                <c:pt idx="51">
                  <c:v>20.35336686531565</c:v>
                </c:pt>
                <c:pt idx="52">
                  <c:v>20.219380338929568</c:v>
                </c:pt>
                <c:pt idx="53">
                  <c:v>20.09201337457057</c:v>
                </c:pt>
                <c:pt idx="54">
                  <c:v>19.971102056971404</c:v>
                </c:pt>
                <c:pt idx="55">
                  <c:v>19.856490886486426</c:v>
                </c:pt>
                <c:pt idx="56">
                  <c:v>19.748032282589065</c:v>
                </c:pt>
                <c:pt idx="57">
                  <c:v>19.645586127200374</c:v>
                </c:pt>
                <c:pt idx="58">
                  <c:v>19.549019344093551</c:v>
                </c:pt>
                <c:pt idx="59">
                  <c:v>19.458205511036908</c:v>
                </c:pt>
                <c:pt idx="60">
                  <c:v>19.373024501707505</c:v>
                </c:pt>
                <c:pt idx="61">
                  <c:v>19.293362154727333</c:v>
                </c:pt>
                <c:pt idx="62">
                  <c:v>19.219109967457882</c:v>
                </c:pt>
                <c:pt idx="63">
                  <c:v>19.150164812434582</c:v>
                </c:pt>
                <c:pt idx="64">
                  <c:v>19.086428674545402</c:v>
                </c:pt>
                <c:pt idx="65">
                  <c:v>19.027808407245345</c:v>
                </c:pt>
                <c:pt idx="66">
                  <c:v>18.974215506277517</c:v>
                </c:pt>
                <c:pt idx="67">
                  <c:v>18.925565899516698</c:v>
                </c:pt>
                <c:pt idx="68">
                  <c:v>18.881779751689862</c:v>
                </c:pt>
                <c:pt idx="69">
                  <c:v>18.842781282850069</c:v>
                </c:pt>
                <c:pt idx="70">
                  <c:v>18.8084985995838</c:v>
                </c:pt>
                <c:pt idx="71">
                  <c:v>18.778863538033079</c:v>
                </c:pt>
                <c:pt idx="72">
                  <c:v>18.753811517896906</c:v>
                </c:pt>
                <c:pt idx="73">
                  <c:v>18.733281406655465</c:v>
                </c:pt>
                <c:pt idx="74">
                  <c:v>18.717215393331912</c:v>
                </c:pt>
                <c:pt idx="75">
                  <c:v>18.705558871168478</c:v>
                </c:pt>
                <c:pt idx="76">
                  <c:v>18.698260328651372</c:v>
                </c:pt>
                <c:pt idx="77">
                  <c:v>18.695271248371682</c:v>
                </c:pt>
                <c:pt idx="78">
                  <c:v>18.69654601325675</c:v>
                </c:pt>
                <c:pt idx="79">
                  <c:v>18.702041819748615</c:v>
                </c:pt>
                <c:pt idx="80">
                  <c:v>18.711718597547531</c:v>
                </c:pt>
                <c:pt idx="81">
                  <c:v>18.72553893557307</c:v>
                </c:pt>
                <c:pt idx="82">
                  <c:v>18.743468013830352</c:v>
                </c:pt>
                <c:pt idx="83">
                  <c:v>18.765473540898086</c:v>
                </c:pt>
                <c:pt idx="84">
                  <c:v>18.791525696784959</c:v>
                </c:pt>
                <c:pt idx="85">
                  <c:v>18.821597080927461</c:v>
                </c:pt>
                <c:pt idx="86">
                  <c:v>18.855662665125578</c:v>
                </c:pt>
                <c:pt idx="87">
                  <c:v>18.893699751238671</c:v>
                </c:pt>
                <c:pt idx="88">
                  <c:v>18.935687933482939</c:v>
                </c:pt>
                <c:pt idx="89">
                  <c:v>18.981609065195471</c:v>
                </c:pt>
                <c:pt idx="90">
                  <c:v>19.031447229947503</c:v>
                </c:pt>
                <c:pt idx="91">
                  <c:v>19.085188716910636</c:v>
                </c:pt>
                <c:pt idx="92">
                  <c:v>19.142822000396336</c:v>
                </c:pt>
                <c:pt idx="93">
                  <c:v>19.204337723508559</c:v>
                </c:pt>
                <c:pt idx="94">
                  <c:v>19.269728685866653</c:v>
                </c:pt>
                <c:pt idx="95">
                  <c:v>19.338989835371649</c:v>
                </c:pt>
                <c:pt idx="96">
                  <c:v>19.412118264009109</c:v>
                </c:pt>
                <c:pt idx="97">
                  <c:v>19.489113207696846</c:v>
                </c:pt>
                <c:pt idx="98">
                  <c:v>19.569976050203593</c:v>
                </c:pt>
                <c:pt idx="99">
                  <c:v>19.654710331184901</c:v>
                </c:pt>
                <c:pt idx="100">
                  <c:v>19.743321758397087</c:v>
                </c:pt>
                <c:pt idx="101">
                  <c:v>19.835818224173295</c:v>
                </c:pt>
                <c:pt idx="102">
                  <c:v>19.932209826262522</c:v>
                </c:pt>
                <c:pt idx="103">
                  <c:v>20.032508893153818</c:v>
                </c:pt>
                <c:pt idx="104">
                  <c:v>20.136730014032082</c:v>
                </c:pt>
                <c:pt idx="105">
                  <c:v>20.24489007353128</c:v>
                </c:pt>
                <c:pt idx="106">
                  <c:v>20.357008291479929</c:v>
                </c:pt>
                <c:pt idx="107">
                  <c:v>20.473106267856679</c:v>
                </c:pt>
                <c:pt idx="108">
                  <c:v>20.593208033206054</c:v>
                </c:pt>
                <c:pt idx="109">
                  <c:v>20.717340104793095</c:v>
                </c:pt>
                <c:pt idx="110">
                  <c:v>20.845531548809845</c:v>
                </c:pt>
                <c:pt idx="111">
                  <c:v>20.977814048986943</c:v>
                </c:pt>
                <c:pt idx="112">
                  <c:v>21.114221981998185</c:v>
                </c:pt>
                <c:pt idx="113">
                  <c:v>21.254792500097039</c:v>
                </c:pt>
                <c:pt idx="114">
                  <c:v>21.399565621469208</c:v>
                </c:pt>
                <c:pt idx="115">
                  <c:v>21.548584328840718</c:v>
                </c:pt>
                <c:pt idx="116">
                  <c:v>21.701894676943311</c:v>
                </c:pt>
                <c:pt idx="117">
                  <c:v>21.859545909503197</c:v>
                </c:pt>
                <c:pt idx="118">
                  <c:v>22.021590586497439</c:v>
                </c:pt>
                <c:pt idx="119">
                  <c:v>22.188084722503675</c:v>
                </c:pt>
                <c:pt idx="120">
                  <c:v>22.35908793706426</c:v>
                </c:pt>
                <c:pt idx="121">
                  <c:v>22.534663618091599</c:v>
                </c:pt>
                <c:pt idx="122">
                  <c:v>22.714879099459779</c:v>
                </c:pt>
                <c:pt idx="123">
                  <c:v>22.899805854062606</c:v>
                </c:pt>
                <c:pt idx="124">
                  <c:v>23.089519703770861</c:v>
                </c:pt>
                <c:pt idx="125">
                  <c:v>23.284101047892591</c:v>
                </c:pt>
                <c:pt idx="126">
                  <c:v>23.483635111938383</c:v>
                </c:pt>
                <c:pt idx="127">
                  <c:v>23.688212218716558</c:v>
                </c:pt>
                <c:pt idx="128">
                  <c:v>23.897928084039222</c:v>
                </c:pt>
                <c:pt idx="129">
                  <c:v>24.112884139614096</c:v>
                </c:pt>
                <c:pt idx="130">
                  <c:v>24.333187886033954</c:v>
                </c:pt>
                <c:pt idx="131">
                  <c:v>24.558953279163916</c:v>
                </c:pt>
                <c:pt idx="132">
                  <c:v>24.790301153676921</c:v>
                </c:pt>
                <c:pt idx="133">
                  <c:v>25.027359688008232</c:v>
                </c:pt>
                <c:pt idx="134">
                  <c:v>25.270264915605594</c:v>
                </c:pt>
                <c:pt idx="135">
                  <c:v>25.519161288058228</c:v>
                </c:pt>
                <c:pt idx="136">
                  <c:v>25.774202296515966</c:v>
                </c:pt>
                <c:pt idx="137">
                  <c:v>26.035551158780947</c:v>
                </c:pt>
                <c:pt idx="138">
                  <c:v>26.303381580598284</c:v>
                </c:pt>
                <c:pt idx="139">
                  <c:v>26.577878601032126</c:v>
                </c:pt>
                <c:pt idx="140">
                  <c:v>26.859239533416769</c:v>
                </c:pt>
                <c:pt idx="141">
                  <c:v>27.147675015299853</c:v>
                </c:pt>
                <c:pt idx="142">
                  <c:v>27.443410183090748</c:v>
                </c:pt>
                <c:pt idx="143">
                  <c:v>27.746685989897514</c:v>
                </c:pt>
                <c:pt idx="144">
                  <c:v>28.057760688384576</c:v>
                </c:pt>
                <c:pt idx="145">
                  <c:v>28.376911504550435</c:v>
                </c:pt>
                <c:pt idx="146">
                  <c:v>28.704436533293347</c:v>
                </c:pt>
                <c:pt idx="147">
                  <c:v>29.040656892741197</c:v>
                </c:pt>
                <c:pt idx="148">
                  <c:v>29.385919181861539</c:v>
                </c:pt>
                <c:pt idx="149">
                  <c:v>29.740598295249981</c:v>
                </c:pt>
                <c:pt idx="150">
                  <c:v>30.105100660733115</c:v>
                </c:pt>
                <c:pt idx="151">
                  <c:v>30.479867980218614</c:v>
                </c:pt>
                <c:pt idx="152">
                  <c:v>30.865381573012883</c:v>
                </c:pt>
                <c:pt idx="153">
                  <c:v>31.262167444876866</c:v>
                </c:pt>
                <c:pt idx="154">
                  <c:v>31.670802237131738</c:v>
                </c:pt>
                <c:pt idx="155">
                  <c:v>32.091920250573196</c:v>
                </c:pt>
                <c:pt idx="156">
                  <c:v>32.526221792151944</c:v>
                </c:pt>
                <c:pt idx="157">
                  <c:v>32.974483163115565</c:v>
                </c:pt>
                <c:pt idx="158">
                  <c:v>33.437568702425096</c:v>
                </c:pt>
                <c:pt idx="159">
                  <c:v>33.916445428759744</c:v>
                </c:pt>
                <c:pt idx="160">
                  <c:v>34.412201003120799</c:v>
                </c:pt>
                <c:pt idx="161">
                  <c:v>34.926065984272157</c:v>
                </c:pt>
                <c:pt idx="162">
                  <c:v>35.459441705324991</c:v>
                </c:pt>
                <c:pt idx="163">
                  <c:v>36.013935615532375</c:v>
                </c:pt>
                <c:pt idx="164">
                  <c:v>36.591406693216072</c:v>
                </c:pt>
                <c:pt idx="165">
                  <c:v>37.194024686014131</c:v>
                </c:pt>
                <c:pt idx="166">
                  <c:v>37.824348714407847</c:v>
                </c:pt>
                <c:pt idx="167">
                  <c:v>38.485433605500532</c:v>
                </c:pt>
                <c:pt idx="168">
                  <c:v>39.180976971314976</c:v>
                </c:pt>
                <c:pt idx="169">
                  <c:v>39.915527955959135</c:v>
                </c:pt>
                <c:pt idx="170">
                  <c:v>40.694792618579982</c:v>
                </c:pt>
                <c:pt idx="171">
                  <c:v>41.526097116550602</c:v>
                </c:pt>
                <c:pt idx="172">
                  <c:v>42.419121720589942</c:v>
                </c:pt>
                <c:pt idx="173">
                  <c:v>43.387129127853939</c:v>
                </c:pt>
                <c:pt idx="174">
                  <c:v>44.449168155587245</c:v>
                </c:pt>
                <c:pt idx="175">
                  <c:v>45.634410706481844</c:v>
                </c:pt>
                <c:pt idx="176">
                  <c:v>46.991872648060223</c:v>
                </c:pt>
                <c:pt idx="177">
                  <c:v>48.617017670900793</c:v>
                </c:pt>
                <c:pt idx="178">
                  <c:v>50.756537456991509</c:v>
                </c:pt>
                <c:pt idx="179">
                  <c:v>55.086633194599074</c:v>
                </c:pt>
                <c:pt idx="180">
                  <c:v>55.086633194599074</c:v>
                </c:pt>
                <c:pt idx="181">
                  <c:v>55.086633194599074</c:v>
                </c:pt>
                <c:pt idx="182">
                  <c:v>55.086633194599074</c:v>
                </c:pt>
                <c:pt idx="183">
                  <c:v>55.086633194599074</c:v>
                </c:pt>
                <c:pt idx="184">
                  <c:v>55.086633194599074</c:v>
                </c:pt>
                <c:pt idx="185">
                  <c:v>55.086633194599074</c:v>
                </c:pt>
              </c:numCache>
            </c:numRef>
          </c:xVal>
          <c:yVal>
            <c:numRef>
              <c:f>'globale Grafik'!$M$8:$M$193</c:f>
              <c:numCache>
                <c:formatCode>0.00\°;[Red]0.00\°</c:formatCode>
                <c:ptCount val="186"/>
                <c:pt idx="0">
                  <c:v>56.214284919562225</c:v>
                </c:pt>
                <c:pt idx="1">
                  <c:v>56.214284919562225</c:v>
                </c:pt>
                <c:pt idx="2">
                  <c:v>55.88780241142296</c:v>
                </c:pt>
                <c:pt idx="3">
                  <c:v>55.504510882555373</c:v>
                </c:pt>
                <c:pt idx="4">
                  <c:v>55.121219353687785</c:v>
                </c:pt>
                <c:pt idx="5">
                  <c:v>54.737927824820197</c:v>
                </c:pt>
                <c:pt idx="6">
                  <c:v>54.354636295952609</c:v>
                </c:pt>
                <c:pt idx="7">
                  <c:v>53.971344767085021</c:v>
                </c:pt>
                <c:pt idx="8">
                  <c:v>53.588053238217434</c:v>
                </c:pt>
                <c:pt idx="9">
                  <c:v>53.204761709349846</c:v>
                </c:pt>
                <c:pt idx="10">
                  <c:v>52.821470180482258</c:v>
                </c:pt>
                <c:pt idx="11">
                  <c:v>52.43817865161467</c:v>
                </c:pt>
                <c:pt idx="12">
                  <c:v>52.054887122747083</c:v>
                </c:pt>
                <c:pt idx="13">
                  <c:v>51.671595593879495</c:v>
                </c:pt>
                <c:pt idx="14">
                  <c:v>51.288304065011907</c:v>
                </c:pt>
                <c:pt idx="15">
                  <c:v>50.905012536144319</c:v>
                </c:pt>
                <c:pt idx="16">
                  <c:v>50.521721007276732</c:v>
                </c:pt>
                <c:pt idx="17">
                  <c:v>50.138429478409144</c:v>
                </c:pt>
                <c:pt idx="18">
                  <c:v>49.755137949541556</c:v>
                </c:pt>
                <c:pt idx="19">
                  <c:v>49.371846420673968</c:v>
                </c:pt>
                <c:pt idx="20">
                  <c:v>48.98855489180638</c:v>
                </c:pt>
                <c:pt idx="21">
                  <c:v>48.605263362938793</c:v>
                </c:pt>
                <c:pt idx="22">
                  <c:v>48.221971834071205</c:v>
                </c:pt>
                <c:pt idx="23">
                  <c:v>47.838680305203617</c:v>
                </c:pt>
                <c:pt idx="24">
                  <c:v>47.455388776336029</c:v>
                </c:pt>
                <c:pt idx="25">
                  <c:v>47.072097247468442</c:v>
                </c:pt>
                <c:pt idx="26">
                  <c:v>46.688805718600854</c:v>
                </c:pt>
                <c:pt idx="27">
                  <c:v>46.305514189733266</c:v>
                </c:pt>
                <c:pt idx="28">
                  <c:v>45.922222660865678</c:v>
                </c:pt>
                <c:pt idx="29">
                  <c:v>45.538931131998091</c:v>
                </c:pt>
                <c:pt idx="30">
                  <c:v>45.155639603130503</c:v>
                </c:pt>
                <c:pt idx="31">
                  <c:v>44.772348074262915</c:v>
                </c:pt>
                <c:pt idx="32">
                  <c:v>44.389056545395327</c:v>
                </c:pt>
                <c:pt idx="33">
                  <c:v>44.005765016527739</c:v>
                </c:pt>
                <c:pt idx="34">
                  <c:v>43.622473487660152</c:v>
                </c:pt>
                <c:pt idx="35">
                  <c:v>43.239181958792564</c:v>
                </c:pt>
                <c:pt idx="36">
                  <c:v>42.855890429924976</c:v>
                </c:pt>
                <c:pt idx="37">
                  <c:v>42.472598901057388</c:v>
                </c:pt>
                <c:pt idx="38">
                  <c:v>42.089307372189801</c:v>
                </c:pt>
                <c:pt idx="39">
                  <c:v>41.706015843322213</c:v>
                </c:pt>
                <c:pt idx="40">
                  <c:v>41.322724314454625</c:v>
                </c:pt>
                <c:pt idx="41">
                  <c:v>40.939432785587037</c:v>
                </c:pt>
                <c:pt idx="42">
                  <c:v>40.556141256719449</c:v>
                </c:pt>
                <c:pt idx="43">
                  <c:v>40.172849727851862</c:v>
                </c:pt>
                <c:pt idx="44">
                  <c:v>39.789558198984274</c:v>
                </c:pt>
                <c:pt idx="45">
                  <c:v>39.406266670116686</c:v>
                </c:pt>
                <c:pt idx="46">
                  <c:v>39.022975141249098</c:v>
                </c:pt>
                <c:pt idx="47">
                  <c:v>38.639683612381511</c:v>
                </c:pt>
                <c:pt idx="48">
                  <c:v>38.256392083513923</c:v>
                </c:pt>
                <c:pt idx="49">
                  <c:v>37.873100554646335</c:v>
                </c:pt>
                <c:pt idx="50">
                  <c:v>37.489809025778747</c:v>
                </c:pt>
                <c:pt idx="51">
                  <c:v>37.10651749691116</c:v>
                </c:pt>
                <c:pt idx="52">
                  <c:v>36.723225968043572</c:v>
                </c:pt>
                <c:pt idx="53">
                  <c:v>36.339934439175984</c:v>
                </c:pt>
                <c:pt idx="54">
                  <c:v>35.956642910308396</c:v>
                </c:pt>
                <c:pt idx="55">
                  <c:v>35.573351381440808</c:v>
                </c:pt>
                <c:pt idx="56">
                  <c:v>35.190059852573221</c:v>
                </c:pt>
                <c:pt idx="57">
                  <c:v>34.806768323705633</c:v>
                </c:pt>
                <c:pt idx="58">
                  <c:v>34.423476794838045</c:v>
                </c:pt>
                <c:pt idx="59">
                  <c:v>34.040185265970457</c:v>
                </c:pt>
                <c:pt idx="60">
                  <c:v>33.65689373710287</c:v>
                </c:pt>
                <c:pt idx="61">
                  <c:v>33.273602208235282</c:v>
                </c:pt>
                <c:pt idx="62">
                  <c:v>32.890310679367694</c:v>
                </c:pt>
                <c:pt idx="63">
                  <c:v>32.507019150500106</c:v>
                </c:pt>
                <c:pt idx="64">
                  <c:v>32.123727621632518</c:v>
                </c:pt>
                <c:pt idx="65">
                  <c:v>31.740436092764931</c:v>
                </c:pt>
                <c:pt idx="66">
                  <c:v>31.357144563897343</c:v>
                </c:pt>
                <c:pt idx="67">
                  <c:v>30.973853035029755</c:v>
                </c:pt>
                <c:pt idx="68">
                  <c:v>30.590561506162167</c:v>
                </c:pt>
                <c:pt idx="69">
                  <c:v>30.20726997729458</c:v>
                </c:pt>
                <c:pt idx="70">
                  <c:v>29.823978448426992</c:v>
                </c:pt>
                <c:pt idx="71">
                  <c:v>29.440686919559404</c:v>
                </c:pt>
                <c:pt idx="72">
                  <c:v>29.057395390691816</c:v>
                </c:pt>
                <c:pt idx="73">
                  <c:v>28.674103861824229</c:v>
                </c:pt>
                <c:pt idx="74">
                  <c:v>28.290812332956641</c:v>
                </c:pt>
                <c:pt idx="75">
                  <c:v>27.907520804089053</c:v>
                </c:pt>
                <c:pt idx="76">
                  <c:v>27.524229275221465</c:v>
                </c:pt>
                <c:pt idx="77">
                  <c:v>27.140937746353877</c:v>
                </c:pt>
                <c:pt idx="78">
                  <c:v>26.75764621748629</c:v>
                </c:pt>
                <c:pt idx="79">
                  <c:v>26.374354688618702</c:v>
                </c:pt>
                <c:pt idx="80">
                  <c:v>25.991063159751114</c:v>
                </c:pt>
                <c:pt idx="81">
                  <c:v>25.607771630883526</c:v>
                </c:pt>
                <c:pt idx="82">
                  <c:v>25.224480102015939</c:v>
                </c:pt>
                <c:pt idx="83">
                  <c:v>24.841188573148351</c:v>
                </c:pt>
                <c:pt idx="84">
                  <c:v>24.457897044280763</c:v>
                </c:pt>
                <c:pt idx="85">
                  <c:v>24.074605515413175</c:v>
                </c:pt>
                <c:pt idx="86">
                  <c:v>23.691313986545588</c:v>
                </c:pt>
                <c:pt idx="87">
                  <c:v>23.308022457678</c:v>
                </c:pt>
                <c:pt idx="88">
                  <c:v>22.924730928810412</c:v>
                </c:pt>
                <c:pt idx="89">
                  <c:v>22.541439399942824</c:v>
                </c:pt>
                <c:pt idx="90">
                  <c:v>22.158147871075236</c:v>
                </c:pt>
                <c:pt idx="91">
                  <c:v>21.774856342207649</c:v>
                </c:pt>
                <c:pt idx="92">
                  <c:v>21.391564813340061</c:v>
                </c:pt>
                <c:pt idx="93">
                  <c:v>21.008273284472473</c:v>
                </c:pt>
                <c:pt idx="94">
                  <c:v>20.624981755604885</c:v>
                </c:pt>
                <c:pt idx="95">
                  <c:v>20.241690226737298</c:v>
                </c:pt>
                <c:pt idx="96">
                  <c:v>19.85839869786971</c:v>
                </c:pt>
                <c:pt idx="97">
                  <c:v>19.475107169002122</c:v>
                </c:pt>
                <c:pt idx="98">
                  <c:v>19.091815640134534</c:v>
                </c:pt>
                <c:pt idx="99">
                  <c:v>18.708524111266946</c:v>
                </c:pt>
                <c:pt idx="100">
                  <c:v>18.325232582399359</c:v>
                </c:pt>
                <c:pt idx="101">
                  <c:v>17.941941053531771</c:v>
                </c:pt>
                <c:pt idx="102">
                  <c:v>17.558649524664183</c:v>
                </c:pt>
                <c:pt idx="103">
                  <c:v>17.175357995796595</c:v>
                </c:pt>
                <c:pt idx="104">
                  <c:v>16.792066466929008</c:v>
                </c:pt>
                <c:pt idx="105">
                  <c:v>16.40877493806142</c:v>
                </c:pt>
                <c:pt idx="106">
                  <c:v>16.025483409193832</c:v>
                </c:pt>
                <c:pt idx="107">
                  <c:v>15.642191880326244</c:v>
                </c:pt>
                <c:pt idx="108">
                  <c:v>15.258900351458657</c:v>
                </c:pt>
                <c:pt idx="109">
                  <c:v>14.875608822591069</c:v>
                </c:pt>
                <c:pt idx="110">
                  <c:v>14.492317293723481</c:v>
                </c:pt>
                <c:pt idx="111">
                  <c:v>14.109025764855893</c:v>
                </c:pt>
                <c:pt idx="112">
                  <c:v>13.725734235988305</c:v>
                </c:pt>
                <c:pt idx="113">
                  <c:v>13.342442707120718</c:v>
                </c:pt>
                <c:pt idx="114">
                  <c:v>12.95915117825313</c:v>
                </c:pt>
                <c:pt idx="115">
                  <c:v>12.575859649385542</c:v>
                </c:pt>
                <c:pt idx="116">
                  <c:v>12.192568120517954</c:v>
                </c:pt>
                <c:pt idx="117">
                  <c:v>11.809276591650367</c:v>
                </c:pt>
                <c:pt idx="118">
                  <c:v>11.425985062782779</c:v>
                </c:pt>
                <c:pt idx="119">
                  <c:v>11.042693533915191</c:v>
                </c:pt>
                <c:pt idx="120">
                  <c:v>10.659402005047603</c:v>
                </c:pt>
                <c:pt idx="121">
                  <c:v>10.276110476180015</c:v>
                </c:pt>
                <c:pt idx="122">
                  <c:v>9.8928189473124277</c:v>
                </c:pt>
                <c:pt idx="123">
                  <c:v>9.50952741844484</c:v>
                </c:pt>
                <c:pt idx="124">
                  <c:v>9.1262358895772522</c:v>
                </c:pt>
                <c:pt idx="125">
                  <c:v>8.7429443607096644</c:v>
                </c:pt>
                <c:pt idx="126">
                  <c:v>8.3596528318420766</c:v>
                </c:pt>
                <c:pt idx="127">
                  <c:v>7.976361302974488</c:v>
                </c:pt>
                <c:pt idx="128">
                  <c:v>7.5930697741068993</c:v>
                </c:pt>
                <c:pt idx="129">
                  <c:v>7.2097782452393107</c:v>
                </c:pt>
                <c:pt idx="130">
                  <c:v>6.826486716371722</c:v>
                </c:pt>
                <c:pt idx="131">
                  <c:v>6.4431951875041333</c:v>
                </c:pt>
                <c:pt idx="132">
                  <c:v>6.0599036586365447</c:v>
                </c:pt>
                <c:pt idx="133">
                  <c:v>5.676612129768956</c:v>
                </c:pt>
                <c:pt idx="134">
                  <c:v>5.2933206009013674</c:v>
                </c:pt>
                <c:pt idx="135">
                  <c:v>4.9100290720337787</c:v>
                </c:pt>
                <c:pt idx="136">
                  <c:v>4.52673754316619</c:v>
                </c:pt>
                <c:pt idx="137">
                  <c:v>4.1434460142986014</c:v>
                </c:pt>
                <c:pt idx="138">
                  <c:v>3.7601544854310132</c:v>
                </c:pt>
                <c:pt idx="139">
                  <c:v>3.3768629565634249</c:v>
                </c:pt>
                <c:pt idx="140">
                  <c:v>2.9935714276958367</c:v>
                </c:pt>
                <c:pt idx="141">
                  <c:v>2.6102798988282485</c:v>
                </c:pt>
                <c:pt idx="142">
                  <c:v>2.2269883699606603</c:v>
                </c:pt>
                <c:pt idx="143">
                  <c:v>1.8436968410930721</c:v>
                </c:pt>
                <c:pt idx="144">
                  <c:v>1.4604053122254839</c:v>
                </c:pt>
                <c:pt idx="145">
                  <c:v>1.0771137833578956</c:v>
                </c:pt>
                <c:pt idx="146">
                  <c:v>0.69382225449030743</c:v>
                </c:pt>
                <c:pt idx="147">
                  <c:v>0.31053072562271916</c:v>
                </c:pt>
                <c:pt idx="148">
                  <c:v>-7.276080324486911E-2</c:v>
                </c:pt>
                <c:pt idx="149">
                  <c:v>-0.45605233211245738</c:v>
                </c:pt>
                <c:pt idx="150">
                  <c:v>-0.83934386098004565</c:v>
                </c:pt>
                <c:pt idx="151">
                  <c:v>-1.2226353898476339</c:v>
                </c:pt>
                <c:pt idx="152">
                  <c:v>-1.6059269187152221</c:v>
                </c:pt>
                <c:pt idx="153">
                  <c:v>-1.9892184475828103</c:v>
                </c:pt>
                <c:pt idx="154">
                  <c:v>-2.3725099764503987</c:v>
                </c:pt>
                <c:pt idx="155">
                  <c:v>-2.755801505317987</c:v>
                </c:pt>
                <c:pt idx="156">
                  <c:v>-3.1390930341855752</c:v>
                </c:pt>
                <c:pt idx="157">
                  <c:v>-3.5223845630531634</c:v>
                </c:pt>
                <c:pt idx="158">
                  <c:v>-3.9056760919207516</c:v>
                </c:pt>
                <c:pt idx="159">
                  <c:v>-4.2889676207883403</c:v>
                </c:pt>
                <c:pt idx="160">
                  <c:v>-4.6722591496559289</c:v>
                </c:pt>
                <c:pt idx="161">
                  <c:v>-5.0555506785235176</c:v>
                </c:pt>
                <c:pt idx="162">
                  <c:v>-5.4388422073911062</c:v>
                </c:pt>
                <c:pt idx="163">
                  <c:v>-5.8221337362586949</c:v>
                </c:pt>
                <c:pt idx="164">
                  <c:v>-6.2054252651262836</c:v>
                </c:pt>
                <c:pt idx="165">
                  <c:v>-6.5887167939938722</c:v>
                </c:pt>
                <c:pt idx="166">
                  <c:v>-6.9720083228614609</c:v>
                </c:pt>
                <c:pt idx="167">
                  <c:v>-7.3552998517290495</c:v>
                </c:pt>
                <c:pt idx="168">
                  <c:v>-7.7385913805966382</c:v>
                </c:pt>
                <c:pt idx="169">
                  <c:v>-8.121882909464226</c:v>
                </c:pt>
                <c:pt idx="170">
                  <c:v>-8.5051744383318137</c:v>
                </c:pt>
                <c:pt idx="171">
                  <c:v>-8.8884659671994015</c:v>
                </c:pt>
                <c:pt idx="172">
                  <c:v>-9.2717574960669893</c:v>
                </c:pt>
                <c:pt idx="173">
                  <c:v>-9.6550490249345771</c:v>
                </c:pt>
                <c:pt idx="174">
                  <c:v>-10.038340553802165</c:v>
                </c:pt>
                <c:pt idx="175">
                  <c:v>-10.421632082669753</c:v>
                </c:pt>
                <c:pt idx="176">
                  <c:v>-10.80492361153734</c:v>
                </c:pt>
                <c:pt idx="177">
                  <c:v>-11.188215140404928</c:v>
                </c:pt>
                <c:pt idx="178">
                  <c:v>-11.571506669272516</c:v>
                </c:pt>
                <c:pt idx="179">
                  <c:v>-11.941054662610044</c:v>
                </c:pt>
                <c:pt idx="180">
                  <c:v>-11.941054662610044</c:v>
                </c:pt>
                <c:pt idx="181">
                  <c:v>-11.941054662610044</c:v>
                </c:pt>
                <c:pt idx="182">
                  <c:v>-11.941054662610044</c:v>
                </c:pt>
                <c:pt idx="183">
                  <c:v>-11.941054662610044</c:v>
                </c:pt>
                <c:pt idx="184">
                  <c:v>-11.941054662610044</c:v>
                </c:pt>
                <c:pt idx="185">
                  <c:v>-11.941054662610044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D39-4440-9FF5-395D9AC8DD4F}"/>
            </c:ext>
          </c:extLst>
        </c:ser>
        <c:ser>
          <c:idx val="2"/>
          <c:order val="2"/>
          <c:tx>
            <c:v>lamda 2s</c:v>
          </c:tx>
          <c:spPr>
            <a:ln w="222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'globale Grafik'!$W$8:$W$193</c:f>
              <c:numCache>
                <c:formatCode>0.00</c:formatCode>
                <c:ptCount val="18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11.048360052950954</c:v>
                </c:pt>
                <c:pt idx="50">
                  <c:v>14.614735262417923</c:v>
                </c:pt>
                <c:pt idx="51">
                  <c:v>16.216941510516619</c:v>
                </c:pt>
                <c:pt idx="52">
                  <c:v>17.416619006333121</c:v>
                </c:pt>
                <c:pt idx="53">
                  <c:v>18.401946811652635</c:v>
                </c:pt>
                <c:pt idx="54">
                  <c:v>19.246870857566364</c:v>
                </c:pt>
                <c:pt idx="55">
                  <c:v>19.989732155718286</c:v>
                </c:pt>
                <c:pt idx="56">
                  <c:v>20.653526446203387</c:v>
                </c:pt>
                <c:pt idx="57">
                  <c:v>21.253369017895182</c:v>
                </c:pt>
                <c:pt idx="58">
                  <c:v>21.799845321534747</c:v>
                </c:pt>
                <c:pt idx="59">
                  <c:v>22.300721815599104</c:v>
                </c:pt>
                <c:pt idx="60">
                  <c:v>22.761903587480958</c:v>
                </c:pt>
                <c:pt idx="61">
                  <c:v>23.188008762401751</c:v>
                </c:pt>
                <c:pt idx="62">
                  <c:v>23.582732220282253</c:v>
                </c:pt>
                <c:pt idx="63">
                  <c:v>23.94908616792361</c:v>
                </c:pt>
                <c:pt idx="64">
                  <c:v>24.289565078652515</c:v>
                </c:pt>
                <c:pt idx="65">
                  <c:v>24.606262233671373</c:v>
                </c:pt>
                <c:pt idx="66">
                  <c:v>24.900954202331377</c:v>
                </c:pt>
                <c:pt idx="67">
                  <c:v>25.175163446010629</c:v>
                </c:pt>
                <c:pt idx="68">
                  <c:v>25.430205607697303</c:v>
                </c:pt>
                <c:pt idx="69">
                  <c:v>25.667225838055629</c:v>
                </c:pt>
                <c:pt idx="70">
                  <c:v>25.887227115828807</c:v>
                </c:pt>
                <c:pt idx="71">
                  <c:v>26.091092618483458</c:v>
                </c:pt>
                <c:pt idx="72">
                  <c:v>26.279603600508551</c:v>
                </c:pt>
                <c:pt idx="73">
                  <c:v>26.453453830886758</c:v>
                </c:pt>
                <c:pt idx="74">
                  <c:v>26.613261360522699</c:v>
                </c:pt>
                <c:pt idx="75">
                  <c:v>26.759578192770277</c:v>
                </c:pt>
                <c:pt idx="76">
                  <c:v>26.892898288789638</c:v>
                </c:pt>
                <c:pt idx="77">
                  <c:v>27.013664236776265</c:v>
                </c:pt>
                <c:pt idx="78">
                  <c:v>27.122272838514618</c:v>
                </c:pt>
                <c:pt idx="79">
                  <c:v>27.219079810357812</c:v>
                </c:pt>
                <c:pt idx="80">
                  <c:v>27.304403753219844</c:v>
                </c:pt>
                <c:pt idx="81">
                  <c:v>27.378529513738158</c:v>
                </c:pt>
                <c:pt idx="82">
                  <c:v>27.441711033750209</c:v>
                </c:pt>
                <c:pt idx="83">
                  <c:v>27.494173765738708</c:v>
                </c:pt>
                <c:pt idx="84">
                  <c:v>27.536116716543404</c:v>
                </c:pt>
                <c:pt idx="85">
                  <c:v>27.567714169418082</c:v>
                </c:pt>
                <c:pt idx="86">
                  <c:v>27.58911712466022</c:v>
                </c:pt>
                <c:pt idx="87">
                  <c:v>27.600454491008691</c:v>
                </c:pt>
                <c:pt idx="88">
                  <c:v>27.601834053352547</c:v>
                </c:pt>
                <c:pt idx="89">
                  <c:v>27.593343236694182</c:v>
                </c:pt>
                <c:pt idx="90">
                  <c:v>27.575049681495727</c:v>
                </c:pt>
                <c:pt idx="91">
                  <c:v>27.547001641303609</c:v>
                </c:pt>
                <c:pt idx="92">
                  <c:v>27.509228209709136</c:v>
                </c:pt>
                <c:pt idx="93">
                  <c:v>27.46173938011998</c:v>
                </c:pt>
                <c:pt idx="94">
                  <c:v>27.404525938341578</c:v>
                </c:pt>
                <c:pt idx="95">
                  <c:v>27.337559184478778</c:v>
                </c:pt>
                <c:pt idx="96">
                  <c:v>27.260790477020407</c:v>
                </c:pt>
                <c:pt idx="97">
                  <c:v>27.174150588033115</c:v>
                </c:pt>
                <c:pt idx="98">
                  <c:v>27.077548853996518</c:v>
                </c:pt>
                <c:pt idx="99">
                  <c:v>26.970872101769487</c:v>
                </c:pt>
                <c:pt idx="100">
                  <c:v>26.853983323258376</c:v>
                </c:pt>
                <c:pt idx="101">
                  <c:v>26.726720065261816</c:v>
                </c:pt>
                <c:pt idx="102">
                  <c:v>26.588892492323737</c:v>
                </c:pt>
                <c:pt idx="103">
                  <c:v>26.440281069735192</c:v>
                </c:pt>
                <c:pt idx="104">
                  <c:v>26.28063380043784</c:v>
                </c:pt>
                <c:pt idx="105">
                  <c:v>26.109662932609751</c:v>
                </c:pt>
                <c:pt idx="106">
                  <c:v>25.927041032964155</c:v>
                </c:pt>
                <c:pt idx="107">
                  <c:v>25.732396292596491</c:v>
                </c:pt>
                <c:pt idx="108">
                  <c:v>25.52530689527299</c:v>
                </c:pt>
                <c:pt idx="109">
                  <c:v>25.305294229078356</c:v>
                </c:pt>
                <c:pt idx="110">
                  <c:v>25.0718146566428</c:v>
                </c:pt>
                <c:pt idx="111">
                  <c:v>24.824249469894937</c:v>
                </c:pt>
                <c:pt idx="112">
                  <c:v>24.561892532326681</c:v>
                </c:pt>
                <c:pt idx="113">
                  <c:v>24.283934939838275</c:v>
                </c:pt>
                <c:pt idx="114">
                  <c:v>23.989445786997919</c:v>
                </c:pt>
                <c:pt idx="115">
                  <c:v>23.677347772322321</c:v>
                </c:pt>
                <c:pt idx="116">
                  <c:v>23.346385855267044</c:v>
                </c:pt>
                <c:pt idx="117">
                  <c:v>22.995086392455676</c:v>
                </c:pt>
                <c:pt idx="118">
                  <c:v>22.621702968045895</c:v>
                </c:pt>
                <c:pt idx="119">
                  <c:v>22.224143208066153</c:v>
                </c:pt>
                <c:pt idx="120">
                  <c:v>21.799867715350217</c:v>
                </c:pt>
                <c:pt idx="121">
                  <c:v>21.345746907766397</c:v>
                </c:pt>
                <c:pt idx="122">
                  <c:v>20.857852064027668</c:v>
                </c:pt>
                <c:pt idx="123">
                  <c:v>20.331139254933646</c:v>
                </c:pt>
                <c:pt idx="124">
                  <c:v>19.758950070596086</c:v>
                </c:pt>
                <c:pt idx="125">
                  <c:v>19.132179361514943</c:v>
                </c:pt>
                <c:pt idx="126">
                  <c:v>18.437789263774675</c:v>
                </c:pt>
                <c:pt idx="127">
                  <c:v>17.655902913796183</c:v>
                </c:pt>
                <c:pt idx="128">
                  <c:v>16.753346358783347</c:v>
                </c:pt>
                <c:pt idx="129">
                  <c:v>15.666209781569421</c:v>
                </c:pt>
                <c:pt idx="130">
                  <c:v>14.232960682103226</c:v>
                </c:pt>
                <c:pt idx="131">
                  <c:v>11.298829668175415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</c:numCache>
            </c:numRef>
          </c:xVal>
          <c:yVal>
            <c:numRef>
              <c:f>'globale Grafik'!$M$8:$M$193</c:f>
              <c:numCache>
                <c:formatCode>0.00\°;[Red]0.00\°</c:formatCode>
                <c:ptCount val="186"/>
                <c:pt idx="0">
                  <c:v>56.214284919562225</c:v>
                </c:pt>
                <c:pt idx="1">
                  <c:v>56.214284919562225</c:v>
                </c:pt>
                <c:pt idx="2">
                  <c:v>55.88780241142296</c:v>
                </c:pt>
                <c:pt idx="3">
                  <c:v>55.504510882555373</c:v>
                </c:pt>
                <c:pt idx="4">
                  <c:v>55.121219353687785</c:v>
                </c:pt>
                <c:pt idx="5">
                  <c:v>54.737927824820197</c:v>
                </c:pt>
                <c:pt idx="6">
                  <c:v>54.354636295952609</c:v>
                </c:pt>
                <c:pt idx="7">
                  <c:v>53.971344767085021</c:v>
                </c:pt>
                <c:pt idx="8">
                  <c:v>53.588053238217434</c:v>
                </c:pt>
                <c:pt idx="9">
                  <c:v>53.204761709349846</c:v>
                </c:pt>
                <c:pt idx="10">
                  <c:v>52.821470180482258</c:v>
                </c:pt>
                <c:pt idx="11">
                  <c:v>52.43817865161467</c:v>
                </c:pt>
                <c:pt idx="12">
                  <c:v>52.054887122747083</c:v>
                </c:pt>
                <c:pt idx="13">
                  <c:v>51.671595593879495</c:v>
                </c:pt>
                <c:pt idx="14">
                  <c:v>51.288304065011907</c:v>
                </c:pt>
                <c:pt idx="15">
                  <c:v>50.905012536144319</c:v>
                </c:pt>
                <c:pt idx="16">
                  <c:v>50.521721007276732</c:v>
                </c:pt>
                <c:pt idx="17">
                  <c:v>50.138429478409144</c:v>
                </c:pt>
                <c:pt idx="18">
                  <c:v>49.755137949541556</c:v>
                </c:pt>
                <c:pt idx="19">
                  <c:v>49.371846420673968</c:v>
                </c:pt>
                <c:pt idx="20">
                  <c:v>48.98855489180638</c:v>
                </c:pt>
                <c:pt idx="21">
                  <c:v>48.605263362938793</c:v>
                </c:pt>
                <c:pt idx="22">
                  <c:v>48.221971834071205</c:v>
                </c:pt>
                <c:pt idx="23">
                  <c:v>47.838680305203617</c:v>
                </c:pt>
                <c:pt idx="24">
                  <c:v>47.455388776336029</c:v>
                </c:pt>
                <c:pt idx="25">
                  <c:v>47.072097247468442</c:v>
                </c:pt>
                <c:pt idx="26">
                  <c:v>46.688805718600854</c:v>
                </c:pt>
                <c:pt idx="27">
                  <c:v>46.305514189733266</c:v>
                </c:pt>
                <c:pt idx="28">
                  <c:v>45.922222660865678</c:v>
                </c:pt>
                <c:pt idx="29">
                  <c:v>45.538931131998091</c:v>
                </c:pt>
                <c:pt idx="30">
                  <c:v>45.155639603130503</c:v>
                </c:pt>
                <c:pt idx="31">
                  <c:v>44.772348074262915</c:v>
                </c:pt>
                <c:pt idx="32">
                  <c:v>44.389056545395327</c:v>
                </c:pt>
                <c:pt idx="33">
                  <c:v>44.005765016527739</c:v>
                </c:pt>
                <c:pt idx="34">
                  <c:v>43.622473487660152</c:v>
                </c:pt>
                <c:pt idx="35">
                  <c:v>43.239181958792564</c:v>
                </c:pt>
                <c:pt idx="36">
                  <c:v>42.855890429924976</c:v>
                </c:pt>
                <c:pt idx="37">
                  <c:v>42.472598901057388</c:v>
                </c:pt>
                <c:pt idx="38">
                  <c:v>42.089307372189801</c:v>
                </c:pt>
                <c:pt idx="39">
                  <c:v>41.706015843322213</c:v>
                </c:pt>
                <c:pt idx="40">
                  <c:v>41.322724314454625</c:v>
                </c:pt>
                <c:pt idx="41">
                  <c:v>40.939432785587037</c:v>
                </c:pt>
                <c:pt idx="42">
                  <c:v>40.556141256719449</c:v>
                </c:pt>
                <c:pt idx="43">
                  <c:v>40.172849727851862</c:v>
                </c:pt>
                <c:pt idx="44">
                  <c:v>39.789558198984274</c:v>
                </c:pt>
                <c:pt idx="45">
                  <c:v>39.406266670116686</c:v>
                </c:pt>
                <c:pt idx="46">
                  <c:v>39.022975141249098</c:v>
                </c:pt>
                <c:pt idx="47">
                  <c:v>38.639683612381511</c:v>
                </c:pt>
                <c:pt idx="48">
                  <c:v>38.256392083513923</c:v>
                </c:pt>
                <c:pt idx="49">
                  <c:v>37.873100554646335</c:v>
                </c:pt>
                <c:pt idx="50">
                  <c:v>37.489809025778747</c:v>
                </c:pt>
                <c:pt idx="51">
                  <c:v>37.10651749691116</c:v>
                </c:pt>
                <c:pt idx="52">
                  <c:v>36.723225968043572</c:v>
                </c:pt>
                <c:pt idx="53">
                  <c:v>36.339934439175984</c:v>
                </c:pt>
                <c:pt idx="54">
                  <c:v>35.956642910308396</c:v>
                </c:pt>
                <c:pt idx="55">
                  <c:v>35.573351381440808</c:v>
                </c:pt>
                <c:pt idx="56">
                  <c:v>35.190059852573221</c:v>
                </c:pt>
                <c:pt idx="57">
                  <c:v>34.806768323705633</c:v>
                </c:pt>
                <c:pt idx="58">
                  <c:v>34.423476794838045</c:v>
                </c:pt>
                <c:pt idx="59">
                  <c:v>34.040185265970457</c:v>
                </c:pt>
                <c:pt idx="60">
                  <c:v>33.65689373710287</c:v>
                </c:pt>
                <c:pt idx="61">
                  <c:v>33.273602208235282</c:v>
                </c:pt>
                <c:pt idx="62">
                  <c:v>32.890310679367694</c:v>
                </c:pt>
                <c:pt idx="63">
                  <c:v>32.507019150500106</c:v>
                </c:pt>
                <c:pt idx="64">
                  <c:v>32.123727621632518</c:v>
                </c:pt>
                <c:pt idx="65">
                  <c:v>31.740436092764931</c:v>
                </c:pt>
                <c:pt idx="66">
                  <c:v>31.357144563897343</c:v>
                </c:pt>
                <c:pt idx="67">
                  <c:v>30.973853035029755</c:v>
                </c:pt>
                <c:pt idx="68">
                  <c:v>30.590561506162167</c:v>
                </c:pt>
                <c:pt idx="69">
                  <c:v>30.20726997729458</c:v>
                </c:pt>
                <c:pt idx="70">
                  <c:v>29.823978448426992</c:v>
                </c:pt>
                <c:pt idx="71">
                  <c:v>29.440686919559404</c:v>
                </c:pt>
                <c:pt idx="72">
                  <c:v>29.057395390691816</c:v>
                </c:pt>
                <c:pt idx="73">
                  <c:v>28.674103861824229</c:v>
                </c:pt>
                <c:pt idx="74">
                  <c:v>28.290812332956641</c:v>
                </c:pt>
                <c:pt idx="75">
                  <c:v>27.907520804089053</c:v>
                </c:pt>
                <c:pt idx="76">
                  <c:v>27.524229275221465</c:v>
                </c:pt>
                <c:pt idx="77">
                  <c:v>27.140937746353877</c:v>
                </c:pt>
                <c:pt idx="78">
                  <c:v>26.75764621748629</c:v>
                </c:pt>
                <c:pt idx="79">
                  <c:v>26.374354688618702</c:v>
                </c:pt>
                <c:pt idx="80">
                  <c:v>25.991063159751114</c:v>
                </c:pt>
                <c:pt idx="81">
                  <c:v>25.607771630883526</c:v>
                </c:pt>
                <c:pt idx="82">
                  <c:v>25.224480102015939</c:v>
                </c:pt>
                <c:pt idx="83">
                  <c:v>24.841188573148351</c:v>
                </c:pt>
                <c:pt idx="84">
                  <c:v>24.457897044280763</c:v>
                </c:pt>
                <c:pt idx="85">
                  <c:v>24.074605515413175</c:v>
                </c:pt>
                <c:pt idx="86">
                  <c:v>23.691313986545588</c:v>
                </c:pt>
                <c:pt idx="87">
                  <c:v>23.308022457678</c:v>
                </c:pt>
                <c:pt idx="88">
                  <c:v>22.924730928810412</c:v>
                </c:pt>
                <c:pt idx="89">
                  <c:v>22.541439399942824</c:v>
                </c:pt>
                <c:pt idx="90">
                  <c:v>22.158147871075236</c:v>
                </c:pt>
                <c:pt idx="91">
                  <c:v>21.774856342207649</c:v>
                </c:pt>
                <c:pt idx="92">
                  <c:v>21.391564813340061</c:v>
                </c:pt>
                <c:pt idx="93">
                  <c:v>21.008273284472473</c:v>
                </c:pt>
                <c:pt idx="94">
                  <c:v>20.624981755604885</c:v>
                </c:pt>
                <c:pt idx="95">
                  <c:v>20.241690226737298</c:v>
                </c:pt>
                <c:pt idx="96">
                  <c:v>19.85839869786971</c:v>
                </c:pt>
                <c:pt idx="97">
                  <c:v>19.475107169002122</c:v>
                </c:pt>
                <c:pt idx="98">
                  <c:v>19.091815640134534</c:v>
                </c:pt>
                <c:pt idx="99">
                  <c:v>18.708524111266946</c:v>
                </c:pt>
                <c:pt idx="100">
                  <c:v>18.325232582399359</c:v>
                </c:pt>
                <c:pt idx="101">
                  <c:v>17.941941053531771</c:v>
                </c:pt>
                <c:pt idx="102">
                  <c:v>17.558649524664183</c:v>
                </c:pt>
                <c:pt idx="103">
                  <c:v>17.175357995796595</c:v>
                </c:pt>
                <c:pt idx="104">
                  <c:v>16.792066466929008</c:v>
                </c:pt>
                <c:pt idx="105">
                  <c:v>16.40877493806142</c:v>
                </c:pt>
                <c:pt idx="106">
                  <c:v>16.025483409193832</c:v>
                </c:pt>
                <c:pt idx="107">
                  <c:v>15.642191880326244</c:v>
                </c:pt>
                <c:pt idx="108">
                  <c:v>15.258900351458657</c:v>
                </c:pt>
                <c:pt idx="109">
                  <c:v>14.875608822591069</c:v>
                </c:pt>
                <c:pt idx="110">
                  <c:v>14.492317293723481</c:v>
                </c:pt>
                <c:pt idx="111">
                  <c:v>14.109025764855893</c:v>
                </c:pt>
                <c:pt idx="112">
                  <c:v>13.725734235988305</c:v>
                </c:pt>
                <c:pt idx="113">
                  <c:v>13.342442707120718</c:v>
                </c:pt>
                <c:pt idx="114">
                  <c:v>12.95915117825313</c:v>
                </c:pt>
                <c:pt idx="115">
                  <c:v>12.575859649385542</c:v>
                </c:pt>
                <c:pt idx="116">
                  <c:v>12.192568120517954</c:v>
                </c:pt>
                <c:pt idx="117">
                  <c:v>11.809276591650367</c:v>
                </c:pt>
                <c:pt idx="118">
                  <c:v>11.425985062782779</c:v>
                </c:pt>
                <c:pt idx="119">
                  <c:v>11.042693533915191</c:v>
                </c:pt>
                <c:pt idx="120">
                  <c:v>10.659402005047603</c:v>
                </c:pt>
                <c:pt idx="121">
                  <c:v>10.276110476180015</c:v>
                </c:pt>
                <c:pt idx="122">
                  <c:v>9.8928189473124277</c:v>
                </c:pt>
                <c:pt idx="123">
                  <c:v>9.50952741844484</c:v>
                </c:pt>
                <c:pt idx="124">
                  <c:v>9.1262358895772522</c:v>
                </c:pt>
                <c:pt idx="125">
                  <c:v>8.7429443607096644</c:v>
                </c:pt>
                <c:pt idx="126">
                  <c:v>8.3596528318420766</c:v>
                </c:pt>
                <c:pt idx="127">
                  <c:v>7.976361302974488</c:v>
                </c:pt>
                <c:pt idx="128">
                  <c:v>7.5930697741068993</c:v>
                </c:pt>
                <c:pt idx="129">
                  <c:v>7.2097782452393107</c:v>
                </c:pt>
                <c:pt idx="130">
                  <c:v>6.826486716371722</c:v>
                </c:pt>
                <c:pt idx="131">
                  <c:v>6.4431951875041333</c:v>
                </c:pt>
                <c:pt idx="132">
                  <c:v>6.0599036586365447</c:v>
                </c:pt>
                <c:pt idx="133">
                  <c:v>5.676612129768956</c:v>
                </c:pt>
                <c:pt idx="134">
                  <c:v>5.2933206009013674</c:v>
                </c:pt>
                <c:pt idx="135">
                  <c:v>4.9100290720337787</c:v>
                </c:pt>
                <c:pt idx="136">
                  <c:v>4.52673754316619</c:v>
                </c:pt>
                <c:pt idx="137">
                  <c:v>4.1434460142986014</c:v>
                </c:pt>
                <c:pt idx="138">
                  <c:v>3.7601544854310132</c:v>
                </c:pt>
                <c:pt idx="139">
                  <c:v>3.3768629565634249</c:v>
                </c:pt>
                <c:pt idx="140">
                  <c:v>2.9935714276958367</c:v>
                </c:pt>
                <c:pt idx="141">
                  <c:v>2.6102798988282485</c:v>
                </c:pt>
                <c:pt idx="142">
                  <c:v>2.2269883699606603</c:v>
                </c:pt>
                <c:pt idx="143">
                  <c:v>1.8436968410930721</c:v>
                </c:pt>
                <c:pt idx="144">
                  <c:v>1.4604053122254839</c:v>
                </c:pt>
                <c:pt idx="145">
                  <c:v>1.0771137833578956</c:v>
                </c:pt>
                <c:pt idx="146">
                  <c:v>0.69382225449030743</c:v>
                </c:pt>
                <c:pt idx="147">
                  <c:v>0.31053072562271916</c:v>
                </c:pt>
                <c:pt idx="148">
                  <c:v>-7.276080324486911E-2</c:v>
                </c:pt>
                <c:pt idx="149">
                  <c:v>-0.45605233211245738</c:v>
                </c:pt>
                <c:pt idx="150">
                  <c:v>-0.83934386098004565</c:v>
                </c:pt>
                <c:pt idx="151">
                  <c:v>-1.2226353898476339</c:v>
                </c:pt>
                <c:pt idx="152">
                  <c:v>-1.6059269187152221</c:v>
                </c:pt>
                <c:pt idx="153">
                  <c:v>-1.9892184475828103</c:v>
                </c:pt>
                <c:pt idx="154">
                  <c:v>-2.3725099764503987</c:v>
                </c:pt>
                <c:pt idx="155">
                  <c:v>-2.755801505317987</c:v>
                </c:pt>
                <c:pt idx="156">
                  <c:v>-3.1390930341855752</c:v>
                </c:pt>
                <c:pt idx="157">
                  <c:v>-3.5223845630531634</c:v>
                </c:pt>
                <c:pt idx="158">
                  <c:v>-3.9056760919207516</c:v>
                </c:pt>
                <c:pt idx="159">
                  <c:v>-4.2889676207883403</c:v>
                </c:pt>
                <c:pt idx="160">
                  <c:v>-4.6722591496559289</c:v>
                </c:pt>
                <c:pt idx="161">
                  <c:v>-5.0555506785235176</c:v>
                </c:pt>
                <c:pt idx="162">
                  <c:v>-5.4388422073911062</c:v>
                </c:pt>
                <c:pt idx="163">
                  <c:v>-5.8221337362586949</c:v>
                </c:pt>
                <c:pt idx="164">
                  <c:v>-6.2054252651262836</c:v>
                </c:pt>
                <c:pt idx="165">
                  <c:v>-6.5887167939938722</c:v>
                </c:pt>
                <c:pt idx="166">
                  <c:v>-6.9720083228614609</c:v>
                </c:pt>
                <c:pt idx="167">
                  <c:v>-7.3552998517290495</c:v>
                </c:pt>
                <c:pt idx="168">
                  <c:v>-7.7385913805966382</c:v>
                </c:pt>
                <c:pt idx="169">
                  <c:v>-8.121882909464226</c:v>
                </c:pt>
                <c:pt idx="170">
                  <c:v>-8.5051744383318137</c:v>
                </c:pt>
                <c:pt idx="171">
                  <c:v>-8.8884659671994015</c:v>
                </c:pt>
                <c:pt idx="172">
                  <c:v>-9.2717574960669893</c:v>
                </c:pt>
                <c:pt idx="173">
                  <c:v>-9.6550490249345771</c:v>
                </c:pt>
                <c:pt idx="174">
                  <c:v>-10.038340553802165</c:v>
                </c:pt>
                <c:pt idx="175">
                  <c:v>-10.421632082669753</c:v>
                </c:pt>
                <c:pt idx="176">
                  <c:v>-10.80492361153734</c:v>
                </c:pt>
                <c:pt idx="177">
                  <c:v>-11.188215140404928</c:v>
                </c:pt>
                <c:pt idx="178">
                  <c:v>-11.571506669272516</c:v>
                </c:pt>
                <c:pt idx="179">
                  <c:v>-11.941054662610044</c:v>
                </c:pt>
                <c:pt idx="180">
                  <c:v>-11.941054662610044</c:v>
                </c:pt>
                <c:pt idx="181">
                  <c:v>-11.941054662610044</c:v>
                </c:pt>
                <c:pt idx="182">
                  <c:v>-11.941054662610044</c:v>
                </c:pt>
                <c:pt idx="183">
                  <c:v>-11.941054662610044</c:v>
                </c:pt>
                <c:pt idx="184">
                  <c:v>-11.941054662610044</c:v>
                </c:pt>
                <c:pt idx="185">
                  <c:v>-11.941054662610044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D39-4440-9FF5-395D9AC8DD4F}"/>
            </c:ext>
          </c:extLst>
        </c:ser>
        <c:ser>
          <c:idx val="3"/>
          <c:order val="3"/>
          <c:tx>
            <c:v>lamda 2</c:v>
          </c:tx>
          <c:spPr>
            <a:ln w="22225" cap="rnd">
              <a:solidFill>
                <a:srgbClr val="FFA1A3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'globale Grafik'!$V$8:$V$193</c:f>
              <c:numCache>
                <c:formatCode>0.00</c:formatCode>
                <c:ptCount val="18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10.126700027215406</c:v>
                </c:pt>
                <c:pt idx="50">
                  <c:v>6.5603248177484375</c:v>
                </c:pt>
                <c:pt idx="51">
                  <c:v>4.9581185696497414</c:v>
                </c:pt>
                <c:pt idx="52">
                  <c:v>3.7584410738332394</c:v>
                </c:pt>
                <c:pt idx="53">
                  <c:v>2.7731132685137254</c:v>
                </c:pt>
                <c:pt idx="54">
                  <c:v>1.9281892225999968</c:v>
                </c:pt>
                <c:pt idx="55">
                  <c:v>1.1853279244481314</c:v>
                </c:pt>
                <c:pt idx="56">
                  <c:v>0.52153363396297436</c:v>
                </c:pt>
                <c:pt idx="57">
                  <c:v>-7.8308937728820638E-2</c:v>
                </c:pt>
                <c:pt idx="58">
                  <c:v>-0.62478524136832903</c:v>
                </c:pt>
                <c:pt idx="59">
                  <c:v>-1.1256617354327432</c:v>
                </c:pt>
                <c:pt idx="60">
                  <c:v>-1.5868435073145406</c:v>
                </c:pt>
                <c:pt idx="61">
                  <c:v>-2.0129486822353897</c:v>
                </c:pt>
                <c:pt idx="62">
                  <c:v>-2.4076721401158352</c:v>
                </c:pt>
                <c:pt idx="63">
                  <c:v>-2.7740260877572496</c:v>
                </c:pt>
                <c:pt idx="64">
                  <c:v>-3.1145049984861544</c:v>
                </c:pt>
                <c:pt idx="65">
                  <c:v>-3.4312021535049553</c:v>
                </c:pt>
                <c:pt idx="66">
                  <c:v>-3.7258941221650161</c:v>
                </c:pt>
                <c:pt idx="67">
                  <c:v>-4.000103365844268</c:v>
                </c:pt>
                <c:pt idx="68">
                  <c:v>-4.2551455275309422</c:v>
                </c:pt>
                <c:pt idx="69">
                  <c:v>-4.4921657578892678</c:v>
                </c:pt>
                <c:pt idx="70">
                  <c:v>-4.7121670356624463</c:v>
                </c:pt>
                <c:pt idx="71">
                  <c:v>-4.9160325383170402</c:v>
                </c:pt>
                <c:pt idx="72">
                  <c:v>-5.1045435203421903</c:v>
                </c:pt>
                <c:pt idx="73">
                  <c:v>-5.2783937507203973</c:v>
                </c:pt>
                <c:pt idx="74">
                  <c:v>-5.4382012803563384</c:v>
                </c:pt>
                <c:pt idx="75">
                  <c:v>-5.5845181126039165</c:v>
                </c:pt>
                <c:pt idx="76">
                  <c:v>-5.7178382086232773</c:v>
                </c:pt>
                <c:pt idx="77">
                  <c:v>-5.838604156609847</c:v>
                </c:pt>
                <c:pt idx="78">
                  <c:v>-5.9472127583482575</c:v>
                </c:pt>
                <c:pt idx="79">
                  <c:v>-6.0440197301914509</c:v>
                </c:pt>
                <c:pt idx="80">
                  <c:v>-6.1293436730534836</c:v>
                </c:pt>
                <c:pt idx="81">
                  <c:v>-6.2034694335717404</c:v>
                </c:pt>
                <c:pt idx="82">
                  <c:v>-6.2666509535838486</c:v>
                </c:pt>
                <c:pt idx="83">
                  <c:v>-6.3191136855722903</c:v>
                </c:pt>
                <c:pt idx="84">
                  <c:v>-6.3610566363770431</c:v>
                </c:pt>
                <c:pt idx="85">
                  <c:v>-6.3926540892516641</c:v>
                </c:pt>
                <c:pt idx="86">
                  <c:v>-6.4140570444938589</c:v>
                </c:pt>
                <c:pt idx="87">
                  <c:v>-6.4253944108422729</c:v>
                </c:pt>
                <c:pt idx="88">
                  <c:v>-6.4267739731861866</c:v>
                </c:pt>
                <c:pt idx="89">
                  <c:v>-6.4182831565277638</c:v>
                </c:pt>
                <c:pt idx="90">
                  <c:v>-6.3999896013293665</c:v>
                </c:pt>
                <c:pt idx="91">
                  <c:v>-6.3719415611372483</c:v>
                </c:pt>
                <c:pt idx="92">
                  <c:v>-6.3341681295427748</c:v>
                </c:pt>
                <c:pt idx="93">
                  <c:v>-6.2866792999535619</c:v>
                </c:pt>
                <c:pt idx="94">
                  <c:v>-6.2294658581752174</c:v>
                </c:pt>
                <c:pt idx="95">
                  <c:v>-6.16249910431236</c:v>
                </c:pt>
                <c:pt idx="96">
                  <c:v>-6.0857303968540464</c:v>
                </c:pt>
                <c:pt idx="97">
                  <c:v>-5.9990905078667538</c:v>
                </c:pt>
                <c:pt idx="98">
                  <c:v>-5.9024887738301004</c:v>
                </c:pt>
                <c:pt idx="99">
                  <c:v>-5.7958120216031261</c:v>
                </c:pt>
                <c:pt idx="100">
                  <c:v>-5.6789232430919583</c:v>
                </c:pt>
                <c:pt idx="101">
                  <c:v>-5.551659985095398</c:v>
                </c:pt>
                <c:pt idx="102">
                  <c:v>-5.413832412157376</c:v>
                </c:pt>
                <c:pt idx="103">
                  <c:v>-5.2652209895688316</c:v>
                </c:pt>
                <c:pt idx="104">
                  <c:v>-5.1055737202714795</c:v>
                </c:pt>
                <c:pt idx="105">
                  <c:v>-4.9346028524433905</c:v>
                </c:pt>
                <c:pt idx="106">
                  <c:v>-4.7519809527977372</c:v>
                </c:pt>
                <c:pt idx="107">
                  <c:v>-4.5573362124300729</c:v>
                </c:pt>
                <c:pt idx="108">
                  <c:v>-4.3502468151065727</c:v>
                </c:pt>
                <c:pt idx="109">
                  <c:v>-4.1302341489119954</c:v>
                </c:pt>
                <c:pt idx="110">
                  <c:v>-3.8967545764763827</c:v>
                </c:pt>
                <c:pt idx="111">
                  <c:v>-3.6491893897285195</c:v>
                </c:pt>
                <c:pt idx="112">
                  <c:v>-3.3868324521603199</c:v>
                </c:pt>
                <c:pt idx="113">
                  <c:v>-3.1088748596719142</c:v>
                </c:pt>
                <c:pt idx="114">
                  <c:v>-2.8143857068315583</c:v>
                </c:pt>
                <c:pt idx="115">
                  <c:v>-2.5022876921559032</c:v>
                </c:pt>
                <c:pt idx="116">
                  <c:v>-2.1713257751006836</c:v>
                </c:pt>
                <c:pt idx="117">
                  <c:v>-1.8200263122893148</c:v>
                </c:pt>
                <c:pt idx="118">
                  <c:v>-1.4466428878795341</c:v>
                </c:pt>
                <c:pt idx="119">
                  <c:v>-1.0490831278997916</c:v>
                </c:pt>
                <c:pt idx="120">
                  <c:v>-0.62480763518385629</c:v>
                </c:pt>
                <c:pt idx="121">
                  <c:v>-0.17068682760003639</c:v>
                </c:pt>
                <c:pt idx="122">
                  <c:v>0.31720801613874983</c:v>
                </c:pt>
                <c:pt idx="123">
                  <c:v>0.84392082523277168</c:v>
                </c:pt>
                <c:pt idx="124">
                  <c:v>1.4161100095703318</c:v>
                </c:pt>
                <c:pt idx="125">
                  <c:v>2.0428807186514177</c:v>
                </c:pt>
                <c:pt idx="126">
                  <c:v>2.7372708163917423</c:v>
                </c:pt>
                <c:pt idx="127">
                  <c:v>3.5191571663702348</c:v>
                </c:pt>
                <c:pt idx="128">
                  <c:v>4.4217137213830711</c:v>
                </c:pt>
                <c:pt idx="129">
                  <c:v>5.5088502985969967</c:v>
                </c:pt>
                <c:pt idx="130">
                  <c:v>6.942099398063192</c:v>
                </c:pt>
                <c:pt idx="131">
                  <c:v>9.8762304119909459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</c:numCache>
            </c:numRef>
          </c:xVal>
          <c:yVal>
            <c:numRef>
              <c:f>'globale Grafik'!$M$8:$M$193</c:f>
              <c:numCache>
                <c:formatCode>0.00\°;[Red]0.00\°</c:formatCode>
                <c:ptCount val="186"/>
                <c:pt idx="0">
                  <c:v>56.214284919562225</c:v>
                </c:pt>
                <c:pt idx="1">
                  <c:v>56.214284919562225</c:v>
                </c:pt>
                <c:pt idx="2">
                  <c:v>55.88780241142296</c:v>
                </c:pt>
                <c:pt idx="3">
                  <c:v>55.504510882555373</c:v>
                </c:pt>
                <c:pt idx="4">
                  <c:v>55.121219353687785</c:v>
                </c:pt>
                <c:pt idx="5">
                  <c:v>54.737927824820197</c:v>
                </c:pt>
                <c:pt idx="6">
                  <c:v>54.354636295952609</c:v>
                </c:pt>
                <c:pt idx="7">
                  <c:v>53.971344767085021</c:v>
                </c:pt>
                <c:pt idx="8">
                  <c:v>53.588053238217434</c:v>
                </c:pt>
                <c:pt idx="9">
                  <c:v>53.204761709349846</c:v>
                </c:pt>
                <c:pt idx="10">
                  <c:v>52.821470180482258</c:v>
                </c:pt>
                <c:pt idx="11">
                  <c:v>52.43817865161467</c:v>
                </c:pt>
                <c:pt idx="12">
                  <c:v>52.054887122747083</c:v>
                </c:pt>
                <c:pt idx="13">
                  <c:v>51.671595593879495</c:v>
                </c:pt>
                <c:pt idx="14">
                  <c:v>51.288304065011907</c:v>
                </c:pt>
                <c:pt idx="15">
                  <c:v>50.905012536144319</c:v>
                </c:pt>
                <c:pt idx="16">
                  <c:v>50.521721007276732</c:v>
                </c:pt>
                <c:pt idx="17">
                  <c:v>50.138429478409144</c:v>
                </c:pt>
                <c:pt idx="18">
                  <c:v>49.755137949541556</c:v>
                </c:pt>
                <c:pt idx="19">
                  <c:v>49.371846420673968</c:v>
                </c:pt>
                <c:pt idx="20">
                  <c:v>48.98855489180638</c:v>
                </c:pt>
                <c:pt idx="21">
                  <c:v>48.605263362938793</c:v>
                </c:pt>
                <c:pt idx="22">
                  <c:v>48.221971834071205</c:v>
                </c:pt>
                <c:pt idx="23">
                  <c:v>47.838680305203617</c:v>
                </c:pt>
                <c:pt idx="24">
                  <c:v>47.455388776336029</c:v>
                </c:pt>
                <c:pt idx="25">
                  <c:v>47.072097247468442</c:v>
                </c:pt>
                <c:pt idx="26">
                  <c:v>46.688805718600854</c:v>
                </c:pt>
                <c:pt idx="27">
                  <c:v>46.305514189733266</c:v>
                </c:pt>
                <c:pt idx="28">
                  <c:v>45.922222660865678</c:v>
                </c:pt>
                <c:pt idx="29">
                  <c:v>45.538931131998091</c:v>
                </c:pt>
                <c:pt idx="30">
                  <c:v>45.155639603130503</c:v>
                </c:pt>
                <c:pt idx="31">
                  <c:v>44.772348074262915</c:v>
                </c:pt>
                <c:pt idx="32">
                  <c:v>44.389056545395327</c:v>
                </c:pt>
                <c:pt idx="33">
                  <c:v>44.005765016527739</c:v>
                </c:pt>
                <c:pt idx="34">
                  <c:v>43.622473487660152</c:v>
                </c:pt>
                <c:pt idx="35">
                  <c:v>43.239181958792564</c:v>
                </c:pt>
                <c:pt idx="36">
                  <c:v>42.855890429924976</c:v>
                </c:pt>
                <c:pt idx="37">
                  <c:v>42.472598901057388</c:v>
                </c:pt>
                <c:pt idx="38">
                  <c:v>42.089307372189801</c:v>
                </c:pt>
                <c:pt idx="39">
                  <c:v>41.706015843322213</c:v>
                </c:pt>
                <c:pt idx="40">
                  <c:v>41.322724314454625</c:v>
                </c:pt>
                <c:pt idx="41">
                  <c:v>40.939432785587037</c:v>
                </c:pt>
                <c:pt idx="42">
                  <c:v>40.556141256719449</c:v>
                </c:pt>
                <c:pt idx="43">
                  <c:v>40.172849727851862</c:v>
                </c:pt>
                <c:pt idx="44">
                  <c:v>39.789558198984274</c:v>
                </c:pt>
                <c:pt idx="45">
                  <c:v>39.406266670116686</c:v>
                </c:pt>
                <c:pt idx="46">
                  <c:v>39.022975141249098</c:v>
                </c:pt>
                <c:pt idx="47">
                  <c:v>38.639683612381511</c:v>
                </c:pt>
                <c:pt idx="48">
                  <c:v>38.256392083513923</c:v>
                </c:pt>
                <c:pt idx="49">
                  <c:v>37.873100554646335</c:v>
                </c:pt>
                <c:pt idx="50">
                  <c:v>37.489809025778747</c:v>
                </c:pt>
                <c:pt idx="51">
                  <c:v>37.10651749691116</c:v>
                </c:pt>
                <c:pt idx="52">
                  <c:v>36.723225968043572</c:v>
                </c:pt>
                <c:pt idx="53">
                  <c:v>36.339934439175984</c:v>
                </c:pt>
                <c:pt idx="54">
                  <c:v>35.956642910308396</c:v>
                </c:pt>
                <c:pt idx="55">
                  <c:v>35.573351381440808</c:v>
                </c:pt>
                <c:pt idx="56">
                  <c:v>35.190059852573221</c:v>
                </c:pt>
                <c:pt idx="57">
                  <c:v>34.806768323705633</c:v>
                </c:pt>
                <c:pt idx="58">
                  <c:v>34.423476794838045</c:v>
                </c:pt>
                <c:pt idx="59">
                  <c:v>34.040185265970457</c:v>
                </c:pt>
                <c:pt idx="60">
                  <c:v>33.65689373710287</c:v>
                </c:pt>
                <c:pt idx="61">
                  <c:v>33.273602208235282</c:v>
                </c:pt>
                <c:pt idx="62">
                  <c:v>32.890310679367694</c:v>
                </c:pt>
                <c:pt idx="63">
                  <c:v>32.507019150500106</c:v>
                </c:pt>
                <c:pt idx="64">
                  <c:v>32.123727621632518</c:v>
                </c:pt>
                <c:pt idx="65">
                  <c:v>31.740436092764931</c:v>
                </c:pt>
                <c:pt idx="66">
                  <c:v>31.357144563897343</c:v>
                </c:pt>
                <c:pt idx="67">
                  <c:v>30.973853035029755</c:v>
                </c:pt>
                <c:pt idx="68">
                  <c:v>30.590561506162167</c:v>
                </c:pt>
                <c:pt idx="69">
                  <c:v>30.20726997729458</c:v>
                </c:pt>
                <c:pt idx="70">
                  <c:v>29.823978448426992</c:v>
                </c:pt>
                <c:pt idx="71">
                  <c:v>29.440686919559404</c:v>
                </c:pt>
                <c:pt idx="72">
                  <c:v>29.057395390691816</c:v>
                </c:pt>
                <c:pt idx="73">
                  <c:v>28.674103861824229</c:v>
                </c:pt>
                <c:pt idx="74">
                  <c:v>28.290812332956641</c:v>
                </c:pt>
                <c:pt idx="75">
                  <c:v>27.907520804089053</c:v>
                </c:pt>
                <c:pt idx="76">
                  <c:v>27.524229275221465</c:v>
                </c:pt>
                <c:pt idx="77">
                  <c:v>27.140937746353877</c:v>
                </c:pt>
                <c:pt idx="78">
                  <c:v>26.75764621748629</c:v>
                </c:pt>
                <c:pt idx="79">
                  <c:v>26.374354688618702</c:v>
                </c:pt>
                <c:pt idx="80">
                  <c:v>25.991063159751114</c:v>
                </c:pt>
                <c:pt idx="81">
                  <c:v>25.607771630883526</c:v>
                </c:pt>
                <c:pt idx="82">
                  <c:v>25.224480102015939</c:v>
                </c:pt>
                <c:pt idx="83">
                  <c:v>24.841188573148351</c:v>
                </c:pt>
                <c:pt idx="84">
                  <c:v>24.457897044280763</c:v>
                </c:pt>
                <c:pt idx="85">
                  <c:v>24.074605515413175</c:v>
                </c:pt>
                <c:pt idx="86">
                  <c:v>23.691313986545588</c:v>
                </c:pt>
                <c:pt idx="87">
                  <c:v>23.308022457678</c:v>
                </c:pt>
                <c:pt idx="88">
                  <c:v>22.924730928810412</c:v>
                </c:pt>
                <c:pt idx="89">
                  <c:v>22.541439399942824</c:v>
                </c:pt>
                <c:pt idx="90">
                  <c:v>22.158147871075236</c:v>
                </c:pt>
                <c:pt idx="91">
                  <c:v>21.774856342207649</c:v>
                </c:pt>
                <c:pt idx="92">
                  <c:v>21.391564813340061</c:v>
                </c:pt>
                <c:pt idx="93">
                  <c:v>21.008273284472473</c:v>
                </c:pt>
                <c:pt idx="94">
                  <c:v>20.624981755604885</c:v>
                </c:pt>
                <c:pt idx="95">
                  <c:v>20.241690226737298</c:v>
                </c:pt>
                <c:pt idx="96">
                  <c:v>19.85839869786971</c:v>
                </c:pt>
                <c:pt idx="97">
                  <c:v>19.475107169002122</c:v>
                </c:pt>
                <c:pt idx="98">
                  <c:v>19.091815640134534</c:v>
                </c:pt>
                <c:pt idx="99">
                  <c:v>18.708524111266946</c:v>
                </c:pt>
                <c:pt idx="100">
                  <c:v>18.325232582399359</c:v>
                </c:pt>
                <c:pt idx="101">
                  <c:v>17.941941053531771</c:v>
                </c:pt>
                <c:pt idx="102">
                  <c:v>17.558649524664183</c:v>
                </c:pt>
                <c:pt idx="103">
                  <c:v>17.175357995796595</c:v>
                </c:pt>
                <c:pt idx="104">
                  <c:v>16.792066466929008</c:v>
                </c:pt>
                <c:pt idx="105">
                  <c:v>16.40877493806142</c:v>
                </c:pt>
                <c:pt idx="106">
                  <c:v>16.025483409193832</c:v>
                </c:pt>
                <c:pt idx="107">
                  <c:v>15.642191880326244</c:v>
                </c:pt>
                <c:pt idx="108">
                  <c:v>15.258900351458657</c:v>
                </c:pt>
                <c:pt idx="109">
                  <c:v>14.875608822591069</c:v>
                </c:pt>
                <c:pt idx="110">
                  <c:v>14.492317293723481</c:v>
                </c:pt>
                <c:pt idx="111">
                  <c:v>14.109025764855893</c:v>
                </c:pt>
                <c:pt idx="112">
                  <c:v>13.725734235988305</c:v>
                </c:pt>
                <c:pt idx="113">
                  <c:v>13.342442707120718</c:v>
                </c:pt>
                <c:pt idx="114">
                  <c:v>12.95915117825313</c:v>
                </c:pt>
                <c:pt idx="115">
                  <c:v>12.575859649385542</c:v>
                </c:pt>
                <c:pt idx="116">
                  <c:v>12.192568120517954</c:v>
                </c:pt>
                <c:pt idx="117">
                  <c:v>11.809276591650367</c:v>
                </c:pt>
                <c:pt idx="118">
                  <c:v>11.425985062782779</c:v>
                </c:pt>
                <c:pt idx="119">
                  <c:v>11.042693533915191</c:v>
                </c:pt>
                <c:pt idx="120">
                  <c:v>10.659402005047603</c:v>
                </c:pt>
                <c:pt idx="121">
                  <c:v>10.276110476180015</c:v>
                </c:pt>
                <c:pt idx="122">
                  <c:v>9.8928189473124277</c:v>
                </c:pt>
                <c:pt idx="123">
                  <c:v>9.50952741844484</c:v>
                </c:pt>
                <c:pt idx="124">
                  <c:v>9.1262358895772522</c:v>
                </c:pt>
                <c:pt idx="125">
                  <c:v>8.7429443607096644</c:v>
                </c:pt>
                <c:pt idx="126">
                  <c:v>8.3596528318420766</c:v>
                </c:pt>
                <c:pt idx="127">
                  <c:v>7.976361302974488</c:v>
                </c:pt>
                <c:pt idx="128">
                  <c:v>7.5930697741068993</c:v>
                </c:pt>
                <c:pt idx="129">
                  <c:v>7.2097782452393107</c:v>
                </c:pt>
                <c:pt idx="130">
                  <c:v>6.826486716371722</c:v>
                </c:pt>
                <c:pt idx="131">
                  <c:v>6.4431951875041333</c:v>
                </c:pt>
                <c:pt idx="132">
                  <c:v>6.0599036586365447</c:v>
                </c:pt>
                <c:pt idx="133">
                  <c:v>5.676612129768956</c:v>
                </c:pt>
                <c:pt idx="134">
                  <c:v>5.2933206009013674</c:v>
                </c:pt>
                <c:pt idx="135">
                  <c:v>4.9100290720337787</c:v>
                </c:pt>
                <c:pt idx="136">
                  <c:v>4.52673754316619</c:v>
                </c:pt>
                <c:pt idx="137">
                  <c:v>4.1434460142986014</c:v>
                </c:pt>
                <c:pt idx="138">
                  <c:v>3.7601544854310132</c:v>
                </c:pt>
                <c:pt idx="139">
                  <c:v>3.3768629565634249</c:v>
                </c:pt>
                <c:pt idx="140">
                  <c:v>2.9935714276958367</c:v>
                </c:pt>
                <c:pt idx="141">
                  <c:v>2.6102798988282485</c:v>
                </c:pt>
                <c:pt idx="142">
                  <c:v>2.2269883699606603</c:v>
                </c:pt>
                <c:pt idx="143">
                  <c:v>1.8436968410930721</c:v>
                </c:pt>
                <c:pt idx="144">
                  <c:v>1.4604053122254839</c:v>
                </c:pt>
                <c:pt idx="145">
                  <c:v>1.0771137833578956</c:v>
                </c:pt>
                <c:pt idx="146">
                  <c:v>0.69382225449030743</c:v>
                </c:pt>
                <c:pt idx="147">
                  <c:v>0.31053072562271916</c:v>
                </c:pt>
                <c:pt idx="148">
                  <c:v>-7.276080324486911E-2</c:v>
                </c:pt>
                <c:pt idx="149">
                  <c:v>-0.45605233211245738</c:v>
                </c:pt>
                <c:pt idx="150">
                  <c:v>-0.83934386098004565</c:v>
                </c:pt>
                <c:pt idx="151">
                  <c:v>-1.2226353898476339</c:v>
                </c:pt>
                <c:pt idx="152">
                  <c:v>-1.6059269187152221</c:v>
                </c:pt>
                <c:pt idx="153">
                  <c:v>-1.9892184475828103</c:v>
                </c:pt>
                <c:pt idx="154">
                  <c:v>-2.3725099764503987</c:v>
                </c:pt>
                <c:pt idx="155">
                  <c:v>-2.755801505317987</c:v>
                </c:pt>
                <c:pt idx="156">
                  <c:v>-3.1390930341855752</c:v>
                </c:pt>
                <c:pt idx="157">
                  <c:v>-3.5223845630531634</c:v>
                </c:pt>
                <c:pt idx="158">
                  <c:v>-3.9056760919207516</c:v>
                </c:pt>
                <c:pt idx="159">
                  <c:v>-4.2889676207883403</c:v>
                </c:pt>
                <c:pt idx="160">
                  <c:v>-4.6722591496559289</c:v>
                </c:pt>
                <c:pt idx="161">
                  <c:v>-5.0555506785235176</c:v>
                </c:pt>
                <c:pt idx="162">
                  <c:v>-5.4388422073911062</c:v>
                </c:pt>
                <c:pt idx="163">
                  <c:v>-5.8221337362586949</c:v>
                </c:pt>
                <c:pt idx="164">
                  <c:v>-6.2054252651262836</c:v>
                </c:pt>
                <c:pt idx="165">
                  <c:v>-6.5887167939938722</c:v>
                </c:pt>
                <c:pt idx="166">
                  <c:v>-6.9720083228614609</c:v>
                </c:pt>
                <c:pt idx="167">
                  <c:v>-7.3552998517290495</c:v>
                </c:pt>
                <c:pt idx="168">
                  <c:v>-7.7385913805966382</c:v>
                </c:pt>
                <c:pt idx="169">
                  <c:v>-8.121882909464226</c:v>
                </c:pt>
                <c:pt idx="170">
                  <c:v>-8.5051744383318137</c:v>
                </c:pt>
                <c:pt idx="171">
                  <c:v>-8.8884659671994015</c:v>
                </c:pt>
                <c:pt idx="172">
                  <c:v>-9.2717574960669893</c:v>
                </c:pt>
                <c:pt idx="173">
                  <c:v>-9.6550490249345771</c:v>
                </c:pt>
                <c:pt idx="174">
                  <c:v>-10.038340553802165</c:v>
                </c:pt>
                <c:pt idx="175">
                  <c:v>-10.421632082669753</c:v>
                </c:pt>
                <c:pt idx="176">
                  <c:v>-10.80492361153734</c:v>
                </c:pt>
                <c:pt idx="177">
                  <c:v>-11.188215140404928</c:v>
                </c:pt>
                <c:pt idx="178">
                  <c:v>-11.571506669272516</c:v>
                </c:pt>
                <c:pt idx="179">
                  <c:v>-11.941054662610044</c:v>
                </c:pt>
                <c:pt idx="180">
                  <c:v>-11.941054662610044</c:v>
                </c:pt>
                <c:pt idx="181">
                  <c:v>-11.941054662610044</c:v>
                </c:pt>
                <c:pt idx="182">
                  <c:v>-11.941054662610044</c:v>
                </c:pt>
                <c:pt idx="183">
                  <c:v>-11.941054662610044</c:v>
                </c:pt>
                <c:pt idx="184">
                  <c:v>-11.941054662610044</c:v>
                </c:pt>
                <c:pt idx="185">
                  <c:v>-11.941054662610044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D39-4440-9FF5-395D9AC8DD4F}"/>
            </c:ext>
          </c:extLst>
        </c:ser>
        <c:ser>
          <c:idx val="4"/>
          <c:order val="4"/>
          <c:tx>
            <c:v>pos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Pt>
            <c:idx val="186"/>
            <c:marker>
              <c:symbol val="circle"/>
              <c:size val="9"/>
              <c:spPr>
                <a:noFill/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266B-984A-9427-8888F6823915}"/>
              </c:ext>
            </c:extLst>
          </c:dPt>
          <c:dLbls>
            <c:dLbl>
              <c:idx val="186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Helvetica Neue" panose="02000503000000020004" pitchFamily="2" charset="0"/>
                        <a:ea typeface="Helvetica Neue" panose="02000503000000020004" pitchFamily="2" charset="0"/>
                        <a:cs typeface="Helvetica Neue" panose="02000503000000020004" pitchFamily="2" charset="0"/>
                      </a:defRPr>
                    </a:pPr>
                    <a:r>
                      <a:rPr lang="en-US" sz="1100">
                        <a:latin typeface="Helvetica Neue" panose="02000503000000020004" pitchFamily="2" charset="0"/>
                        <a:ea typeface="Helvetica Neue" panose="02000503000000020004" pitchFamily="2" charset="0"/>
                        <a:cs typeface="Helvetica Neue" panose="02000503000000020004" pitchFamily="2" charset="0"/>
                      </a:rPr>
                      <a:t>Position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Helvetica Neue" panose="02000503000000020004" pitchFamily="2" charset="0"/>
                      <a:ea typeface="Helvetica Neue" panose="02000503000000020004" pitchFamily="2" charset="0"/>
                      <a:cs typeface="Helvetica Neue" panose="02000503000000020004" pitchFamily="2" charset="0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6B-984A-9427-8888F68239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'globale Grafik'!$X$8:$X$194</c:f>
              <c:numCache>
                <c:formatCode>0.00</c:formatCode>
                <c:ptCount val="187"/>
                <c:pt idx="186">
                  <c:v>19.572669225930113</c:v>
                </c:pt>
              </c:numCache>
            </c:numRef>
          </c:xVal>
          <c:yVal>
            <c:numRef>
              <c:f>'globale Grafik'!$M$8:$M$194</c:f>
              <c:numCache>
                <c:formatCode>0.00\°;[Red]0.00\°</c:formatCode>
                <c:ptCount val="187"/>
                <c:pt idx="0">
                  <c:v>56.214284919562225</c:v>
                </c:pt>
                <c:pt idx="1">
                  <c:v>56.214284919562225</c:v>
                </c:pt>
                <c:pt idx="2">
                  <c:v>55.88780241142296</c:v>
                </c:pt>
                <c:pt idx="3">
                  <c:v>55.504510882555373</c:v>
                </c:pt>
                <c:pt idx="4">
                  <c:v>55.121219353687785</c:v>
                </c:pt>
                <c:pt idx="5">
                  <c:v>54.737927824820197</c:v>
                </c:pt>
                <c:pt idx="6">
                  <c:v>54.354636295952609</c:v>
                </c:pt>
                <c:pt idx="7">
                  <c:v>53.971344767085021</c:v>
                </c:pt>
                <c:pt idx="8">
                  <c:v>53.588053238217434</c:v>
                </c:pt>
                <c:pt idx="9">
                  <c:v>53.204761709349846</c:v>
                </c:pt>
                <c:pt idx="10">
                  <c:v>52.821470180482258</c:v>
                </c:pt>
                <c:pt idx="11">
                  <c:v>52.43817865161467</c:v>
                </c:pt>
                <c:pt idx="12">
                  <c:v>52.054887122747083</c:v>
                </c:pt>
                <c:pt idx="13">
                  <c:v>51.671595593879495</c:v>
                </c:pt>
                <c:pt idx="14">
                  <c:v>51.288304065011907</c:v>
                </c:pt>
                <c:pt idx="15">
                  <c:v>50.905012536144319</c:v>
                </c:pt>
                <c:pt idx="16">
                  <c:v>50.521721007276732</c:v>
                </c:pt>
                <c:pt idx="17">
                  <c:v>50.138429478409144</c:v>
                </c:pt>
                <c:pt idx="18">
                  <c:v>49.755137949541556</c:v>
                </c:pt>
                <c:pt idx="19">
                  <c:v>49.371846420673968</c:v>
                </c:pt>
                <c:pt idx="20">
                  <c:v>48.98855489180638</c:v>
                </c:pt>
                <c:pt idx="21">
                  <c:v>48.605263362938793</c:v>
                </c:pt>
                <c:pt idx="22">
                  <c:v>48.221971834071205</c:v>
                </c:pt>
                <c:pt idx="23">
                  <c:v>47.838680305203617</c:v>
                </c:pt>
                <c:pt idx="24">
                  <c:v>47.455388776336029</c:v>
                </c:pt>
                <c:pt idx="25">
                  <c:v>47.072097247468442</c:v>
                </c:pt>
                <c:pt idx="26">
                  <c:v>46.688805718600854</c:v>
                </c:pt>
                <c:pt idx="27">
                  <c:v>46.305514189733266</c:v>
                </c:pt>
                <c:pt idx="28">
                  <c:v>45.922222660865678</c:v>
                </c:pt>
                <c:pt idx="29">
                  <c:v>45.538931131998091</c:v>
                </c:pt>
                <c:pt idx="30">
                  <c:v>45.155639603130503</c:v>
                </c:pt>
                <c:pt idx="31">
                  <c:v>44.772348074262915</c:v>
                </c:pt>
                <c:pt idx="32">
                  <c:v>44.389056545395327</c:v>
                </c:pt>
                <c:pt idx="33">
                  <c:v>44.005765016527739</c:v>
                </c:pt>
                <c:pt idx="34">
                  <c:v>43.622473487660152</c:v>
                </c:pt>
                <c:pt idx="35">
                  <c:v>43.239181958792564</c:v>
                </c:pt>
                <c:pt idx="36">
                  <c:v>42.855890429924976</c:v>
                </c:pt>
                <c:pt idx="37">
                  <c:v>42.472598901057388</c:v>
                </c:pt>
                <c:pt idx="38">
                  <c:v>42.089307372189801</c:v>
                </c:pt>
                <c:pt idx="39">
                  <c:v>41.706015843322213</c:v>
                </c:pt>
                <c:pt idx="40">
                  <c:v>41.322724314454625</c:v>
                </c:pt>
                <c:pt idx="41">
                  <c:v>40.939432785587037</c:v>
                </c:pt>
                <c:pt idx="42">
                  <c:v>40.556141256719449</c:v>
                </c:pt>
                <c:pt idx="43">
                  <c:v>40.172849727851862</c:v>
                </c:pt>
                <c:pt idx="44">
                  <c:v>39.789558198984274</c:v>
                </c:pt>
                <c:pt idx="45">
                  <c:v>39.406266670116686</c:v>
                </c:pt>
                <c:pt idx="46">
                  <c:v>39.022975141249098</c:v>
                </c:pt>
                <c:pt idx="47">
                  <c:v>38.639683612381511</c:v>
                </c:pt>
                <c:pt idx="48">
                  <c:v>38.256392083513923</c:v>
                </c:pt>
                <c:pt idx="49">
                  <c:v>37.873100554646335</c:v>
                </c:pt>
                <c:pt idx="50">
                  <c:v>37.489809025778747</c:v>
                </c:pt>
                <c:pt idx="51">
                  <c:v>37.10651749691116</c:v>
                </c:pt>
                <c:pt idx="52">
                  <c:v>36.723225968043572</c:v>
                </c:pt>
                <c:pt idx="53">
                  <c:v>36.339934439175984</c:v>
                </c:pt>
                <c:pt idx="54">
                  <c:v>35.956642910308396</c:v>
                </c:pt>
                <c:pt idx="55">
                  <c:v>35.573351381440808</c:v>
                </c:pt>
                <c:pt idx="56">
                  <c:v>35.190059852573221</c:v>
                </c:pt>
                <c:pt idx="57">
                  <c:v>34.806768323705633</c:v>
                </c:pt>
                <c:pt idx="58">
                  <c:v>34.423476794838045</c:v>
                </c:pt>
                <c:pt idx="59">
                  <c:v>34.040185265970457</c:v>
                </c:pt>
                <c:pt idx="60">
                  <c:v>33.65689373710287</c:v>
                </c:pt>
                <c:pt idx="61">
                  <c:v>33.273602208235282</c:v>
                </c:pt>
                <c:pt idx="62">
                  <c:v>32.890310679367694</c:v>
                </c:pt>
                <c:pt idx="63">
                  <c:v>32.507019150500106</c:v>
                </c:pt>
                <c:pt idx="64">
                  <c:v>32.123727621632518</c:v>
                </c:pt>
                <c:pt idx="65">
                  <c:v>31.740436092764931</c:v>
                </c:pt>
                <c:pt idx="66">
                  <c:v>31.357144563897343</c:v>
                </c:pt>
                <c:pt idx="67">
                  <c:v>30.973853035029755</c:v>
                </c:pt>
                <c:pt idx="68">
                  <c:v>30.590561506162167</c:v>
                </c:pt>
                <c:pt idx="69">
                  <c:v>30.20726997729458</c:v>
                </c:pt>
                <c:pt idx="70">
                  <c:v>29.823978448426992</c:v>
                </c:pt>
                <c:pt idx="71">
                  <c:v>29.440686919559404</c:v>
                </c:pt>
                <c:pt idx="72">
                  <c:v>29.057395390691816</c:v>
                </c:pt>
                <c:pt idx="73">
                  <c:v>28.674103861824229</c:v>
                </c:pt>
                <c:pt idx="74">
                  <c:v>28.290812332956641</c:v>
                </c:pt>
                <c:pt idx="75">
                  <c:v>27.907520804089053</c:v>
                </c:pt>
                <c:pt idx="76">
                  <c:v>27.524229275221465</c:v>
                </c:pt>
                <c:pt idx="77">
                  <c:v>27.140937746353877</c:v>
                </c:pt>
                <c:pt idx="78">
                  <c:v>26.75764621748629</c:v>
                </c:pt>
                <c:pt idx="79">
                  <c:v>26.374354688618702</c:v>
                </c:pt>
                <c:pt idx="80">
                  <c:v>25.991063159751114</c:v>
                </c:pt>
                <c:pt idx="81">
                  <c:v>25.607771630883526</c:v>
                </c:pt>
                <c:pt idx="82">
                  <c:v>25.224480102015939</c:v>
                </c:pt>
                <c:pt idx="83">
                  <c:v>24.841188573148351</c:v>
                </c:pt>
                <c:pt idx="84">
                  <c:v>24.457897044280763</c:v>
                </c:pt>
                <c:pt idx="85">
                  <c:v>24.074605515413175</c:v>
                </c:pt>
                <c:pt idx="86">
                  <c:v>23.691313986545588</c:v>
                </c:pt>
                <c:pt idx="87">
                  <c:v>23.308022457678</c:v>
                </c:pt>
                <c:pt idx="88">
                  <c:v>22.924730928810412</c:v>
                </c:pt>
                <c:pt idx="89">
                  <c:v>22.541439399942824</c:v>
                </c:pt>
                <c:pt idx="90">
                  <c:v>22.158147871075236</c:v>
                </c:pt>
                <c:pt idx="91">
                  <c:v>21.774856342207649</c:v>
                </c:pt>
                <c:pt idx="92">
                  <c:v>21.391564813340061</c:v>
                </c:pt>
                <c:pt idx="93">
                  <c:v>21.008273284472473</c:v>
                </c:pt>
                <c:pt idx="94">
                  <c:v>20.624981755604885</c:v>
                </c:pt>
                <c:pt idx="95">
                  <c:v>20.241690226737298</c:v>
                </c:pt>
                <c:pt idx="96">
                  <c:v>19.85839869786971</c:v>
                </c:pt>
                <c:pt idx="97">
                  <c:v>19.475107169002122</c:v>
                </c:pt>
                <c:pt idx="98">
                  <c:v>19.091815640134534</c:v>
                </c:pt>
                <c:pt idx="99">
                  <c:v>18.708524111266946</c:v>
                </c:pt>
                <c:pt idx="100">
                  <c:v>18.325232582399359</c:v>
                </c:pt>
                <c:pt idx="101">
                  <c:v>17.941941053531771</c:v>
                </c:pt>
                <c:pt idx="102">
                  <c:v>17.558649524664183</c:v>
                </c:pt>
                <c:pt idx="103">
                  <c:v>17.175357995796595</c:v>
                </c:pt>
                <c:pt idx="104">
                  <c:v>16.792066466929008</c:v>
                </c:pt>
                <c:pt idx="105">
                  <c:v>16.40877493806142</c:v>
                </c:pt>
                <c:pt idx="106">
                  <c:v>16.025483409193832</c:v>
                </c:pt>
                <c:pt idx="107">
                  <c:v>15.642191880326244</c:v>
                </c:pt>
                <c:pt idx="108">
                  <c:v>15.258900351458657</c:v>
                </c:pt>
                <c:pt idx="109">
                  <c:v>14.875608822591069</c:v>
                </c:pt>
                <c:pt idx="110">
                  <c:v>14.492317293723481</c:v>
                </c:pt>
                <c:pt idx="111">
                  <c:v>14.109025764855893</c:v>
                </c:pt>
                <c:pt idx="112">
                  <c:v>13.725734235988305</c:v>
                </c:pt>
                <c:pt idx="113">
                  <c:v>13.342442707120718</c:v>
                </c:pt>
                <c:pt idx="114">
                  <c:v>12.95915117825313</c:v>
                </c:pt>
                <c:pt idx="115">
                  <c:v>12.575859649385542</c:v>
                </c:pt>
                <c:pt idx="116">
                  <c:v>12.192568120517954</c:v>
                </c:pt>
                <c:pt idx="117">
                  <c:v>11.809276591650367</c:v>
                </c:pt>
                <c:pt idx="118">
                  <c:v>11.425985062782779</c:v>
                </c:pt>
                <c:pt idx="119">
                  <c:v>11.042693533915191</c:v>
                </c:pt>
                <c:pt idx="120">
                  <c:v>10.659402005047603</c:v>
                </c:pt>
                <c:pt idx="121">
                  <c:v>10.276110476180015</c:v>
                </c:pt>
                <c:pt idx="122">
                  <c:v>9.8928189473124277</c:v>
                </c:pt>
                <c:pt idx="123">
                  <c:v>9.50952741844484</c:v>
                </c:pt>
                <c:pt idx="124">
                  <c:v>9.1262358895772522</c:v>
                </c:pt>
                <c:pt idx="125">
                  <c:v>8.7429443607096644</c:v>
                </c:pt>
                <c:pt idx="126">
                  <c:v>8.3596528318420766</c:v>
                </c:pt>
                <c:pt idx="127">
                  <c:v>7.976361302974488</c:v>
                </c:pt>
                <c:pt idx="128">
                  <c:v>7.5930697741068993</c:v>
                </c:pt>
                <c:pt idx="129">
                  <c:v>7.2097782452393107</c:v>
                </c:pt>
                <c:pt idx="130">
                  <c:v>6.826486716371722</c:v>
                </c:pt>
                <c:pt idx="131">
                  <c:v>6.4431951875041333</c:v>
                </c:pt>
                <c:pt idx="132">
                  <c:v>6.0599036586365447</c:v>
                </c:pt>
                <c:pt idx="133">
                  <c:v>5.676612129768956</c:v>
                </c:pt>
                <c:pt idx="134">
                  <c:v>5.2933206009013674</c:v>
                </c:pt>
                <c:pt idx="135">
                  <c:v>4.9100290720337787</c:v>
                </c:pt>
                <c:pt idx="136">
                  <c:v>4.52673754316619</c:v>
                </c:pt>
                <c:pt idx="137">
                  <c:v>4.1434460142986014</c:v>
                </c:pt>
                <c:pt idx="138">
                  <c:v>3.7601544854310132</c:v>
                </c:pt>
                <c:pt idx="139">
                  <c:v>3.3768629565634249</c:v>
                </c:pt>
                <c:pt idx="140">
                  <c:v>2.9935714276958367</c:v>
                </c:pt>
                <c:pt idx="141">
                  <c:v>2.6102798988282485</c:v>
                </c:pt>
                <c:pt idx="142">
                  <c:v>2.2269883699606603</c:v>
                </c:pt>
                <c:pt idx="143">
                  <c:v>1.8436968410930721</c:v>
                </c:pt>
                <c:pt idx="144">
                  <c:v>1.4604053122254839</c:v>
                </c:pt>
                <c:pt idx="145">
                  <c:v>1.0771137833578956</c:v>
                </c:pt>
                <c:pt idx="146">
                  <c:v>0.69382225449030743</c:v>
                </c:pt>
                <c:pt idx="147">
                  <c:v>0.31053072562271916</c:v>
                </c:pt>
                <c:pt idx="148">
                  <c:v>-7.276080324486911E-2</c:v>
                </c:pt>
                <c:pt idx="149">
                  <c:v>-0.45605233211245738</c:v>
                </c:pt>
                <c:pt idx="150">
                  <c:v>-0.83934386098004565</c:v>
                </c:pt>
                <c:pt idx="151">
                  <c:v>-1.2226353898476339</c:v>
                </c:pt>
                <c:pt idx="152">
                  <c:v>-1.6059269187152221</c:v>
                </c:pt>
                <c:pt idx="153">
                  <c:v>-1.9892184475828103</c:v>
                </c:pt>
                <c:pt idx="154">
                  <c:v>-2.3725099764503987</c:v>
                </c:pt>
                <c:pt idx="155">
                  <c:v>-2.755801505317987</c:v>
                </c:pt>
                <c:pt idx="156">
                  <c:v>-3.1390930341855752</c:v>
                </c:pt>
                <c:pt idx="157">
                  <c:v>-3.5223845630531634</c:v>
                </c:pt>
                <c:pt idx="158">
                  <c:v>-3.9056760919207516</c:v>
                </c:pt>
                <c:pt idx="159">
                  <c:v>-4.2889676207883403</c:v>
                </c:pt>
                <c:pt idx="160">
                  <c:v>-4.6722591496559289</c:v>
                </c:pt>
                <c:pt idx="161">
                  <c:v>-5.0555506785235176</c:v>
                </c:pt>
                <c:pt idx="162">
                  <c:v>-5.4388422073911062</c:v>
                </c:pt>
                <c:pt idx="163">
                  <c:v>-5.8221337362586949</c:v>
                </c:pt>
                <c:pt idx="164">
                  <c:v>-6.2054252651262836</c:v>
                </c:pt>
                <c:pt idx="165">
                  <c:v>-6.5887167939938722</c:v>
                </c:pt>
                <c:pt idx="166">
                  <c:v>-6.9720083228614609</c:v>
                </c:pt>
                <c:pt idx="167">
                  <c:v>-7.3552998517290495</c:v>
                </c:pt>
                <c:pt idx="168">
                  <c:v>-7.7385913805966382</c:v>
                </c:pt>
                <c:pt idx="169">
                  <c:v>-8.121882909464226</c:v>
                </c:pt>
                <c:pt idx="170">
                  <c:v>-8.5051744383318137</c:v>
                </c:pt>
                <c:pt idx="171">
                  <c:v>-8.8884659671994015</c:v>
                </c:pt>
                <c:pt idx="172">
                  <c:v>-9.2717574960669893</c:v>
                </c:pt>
                <c:pt idx="173">
                  <c:v>-9.6550490249345771</c:v>
                </c:pt>
                <c:pt idx="174">
                  <c:v>-10.038340553802165</c:v>
                </c:pt>
                <c:pt idx="175">
                  <c:v>-10.421632082669753</c:v>
                </c:pt>
                <c:pt idx="176">
                  <c:v>-10.80492361153734</c:v>
                </c:pt>
                <c:pt idx="177">
                  <c:v>-11.188215140404928</c:v>
                </c:pt>
                <c:pt idx="178">
                  <c:v>-11.571506669272516</c:v>
                </c:pt>
                <c:pt idx="179">
                  <c:v>-11.941054662610044</c:v>
                </c:pt>
                <c:pt idx="180">
                  <c:v>-11.941054662610044</c:v>
                </c:pt>
                <c:pt idx="181">
                  <c:v>-11.941054662610044</c:v>
                </c:pt>
                <c:pt idx="182">
                  <c:v>-11.941054662610044</c:v>
                </c:pt>
                <c:pt idx="183">
                  <c:v>-11.941054662610044</c:v>
                </c:pt>
                <c:pt idx="184">
                  <c:v>-11.941054662610044</c:v>
                </c:pt>
                <c:pt idx="185">
                  <c:v>-11.941054662610044</c:v>
                </c:pt>
                <c:pt idx="186">
                  <c:v>35.794161516715647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66B-984A-9427-8888F6823915}"/>
            </c:ext>
          </c:extLst>
        </c:ser>
        <c:ser>
          <c:idx val="5"/>
          <c:order val="5"/>
          <c:tx>
            <c:v>sun</c:v>
          </c:tx>
          <c:spPr>
            <a:ln w="19050" cap="rnd">
              <a:noFill/>
              <a:round/>
            </a:ln>
            <a:effectLst/>
          </c:spPr>
          <c:marker>
            <c:symbol val="none"/>
          </c:marker>
          <c:dPt>
            <c:idx val="187"/>
            <c:marker>
              <c:symbol val="circle"/>
              <c:size val="10"/>
              <c:spPr>
                <a:solidFill>
                  <a:srgbClr val="FFF803"/>
                </a:solidFill>
                <a:ln w="0">
                  <a:solidFill>
                    <a:srgbClr val="00B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6B5-A94A-9BEA-36F714C62772}"/>
              </c:ext>
            </c:extLst>
          </c:dPt>
          <c:dPt>
            <c:idx val="188"/>
            <c:marker>
              <c:symbol val="circle"/>
              <c:size val="10"/>
              <c:spPr>
                <a:solidFill>
                  <a:srgbClr val="FFFF00"/>
                </a:solidFill>
                <a:ln w="0">
                  <a:solidFill>
                    <a:srgbClr val="FF000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6B5-A94A-9BEA-36F714C62772}"/>
              </c:ext>
            </c:extLst>
          </c:dPt>
          <c:xVal>
            <c:numRef>
              <c:f>'globale Grafik'!$Y$8:$Y$196</c:f>
              <c:numCache>
                <c:formatCode>0.00</c:formatCode>
                <c:ptCount val="189"/>
                <c:pt idx="187" formatCode="0.00_ ;[Red]\-0.00\ ">
                  <c:v>55.92842025435931</c:v>
                </c:pt>
                <c:pt idx="188" formatCode="0.00_ ;[Red]\-0.00\ ">
                  <c:v>10.587530040083209</c:v>
                </c:pt>
              </c:numCache>
            </c:numRef>
          </c:xVal>
          <c:yVal>
            <c:numRef>
              <c:f>'globale Grafik'!$M$8:$M$196</c:f>
              <c:numCache>
                <c:formatCode>0.00\°;[Red]0.00\°</c:formatCode>
                <c:ptCount val="189"/>
                <c:pt idx="0">
                  <c:v>56.214284919562225</c:v>
                </c:pt>
                <c:pt idx="1">
                  <c:v>56.214284919562225</c:v>
                </c:pt>
                <c:pt idx="2">
                  <c:v>55.88780241142296</c:v>
                </c:pt>
                <c:pt idx="3">
                  <c:v>55.504510882555373</c:v>
                </c:pt>
                <c:pt idx="4">
                  <c:v>55.121219353687785</c:v>
                </c:pt>
                <c:pt idx="5">
                  <c:v>54.737927824820197</c:v>
                </c:pt>
                <c:pt idx="6">
                  <c:v>54.354636295952609</c:v>
                </c:pt>
                <c:pt idx="7">
                  <c:v>53.971344767085021</c:v>
                </c:pt>
                <c:pt idx="8">
                  <c:v>53.588053238217434</c:v>
                </c:pt>
                <c:pt idx="9">
                  <c:v>53.204761709349846</c:v>
                </c:pt>
                <c:pt idx="10">
                  <c:v>52.821470180482258</c:v>
                </c:pt>
                <c:pt idx="11">
                  <c:v>52.43817865161467</c:v>
                </c:pt>
                <c:pt idx="12">
                  <c:v>52.054887122747083</c:v>
                </c:pt>
                <c:pt idx="13">
                  <c:v>51.671595593879495</c:v>
                </c:pt>
                <c:pt idx="14">
                  <c:v>51.288304065011907</c:v>
                </c:pt>
                <c:pt idx="15">
                  <c:v>50.905012536144319</c:v>
                </c:pt>
                <c:pt idx="16">
                  <c:v>50.521721007276732</c:v>
                </c:pt>
                <c:pt idx="17">
                  <c:v>50.138429478409144</c:v>
                </c:pt>
                <c:pt idx="18">
                  <c:v>49.755137949541556</c:v>
                </c:pt>
                <c:pt idx="19">
                  <c:v>49.371846420673968</c:v>
                </c:pt>
                <c:pt idx="20">
                  <c:v>48.98855489180638</c:v>
                </c:pt>
                <c:pt idx="21">
                  <c:v>48.605263362938793</c:v>
                </c:pt>
                <c:pt idx="22">
                  <c:v>48.221971834071205</c:v>
                </c:pt>
                <c:pt idx="23">
                  <c:v>47.838680305203617</c:v>
                </c:pt>
                <c:pt idx="24">
                  <c:v>47.455388776336029</c:v>
                </c:pt>
                <c:pt idx="25">
                  <c:v>47.072097247468442</c:v>
                </c:pt>
                <c:pt idx="26">
                  <c:v>46.688805718600854</c:v>
                </c:pt>
                <c:pt idx="27">
                  <c:v>46.305514189733266</c:v>
                </c:pt>
                <c:pt idx="28">
                  <c:v>45.922222660865678</c:v>
                </c:pt>
                <c:pt idx="29">
                  <c:v>45.538931131998091</c:v>
                </c:pt>
                <c:pt idx="30">
                  <c:v>45.155639603130503</c:v>
                </c:pt>
                <c:pt idx="31">
                  <c:v>44.772348074262915</c:v>
                </c:pt>
                <c:pt idx="32">
                  <c:v>44.389056545395327</c:v>
                </c:pt>
                <c:pt idx="33">
                  <c:v>44.005765016527739</c:v>
                </c:pt>
                <c:pt idx="34">
                  <c:v>43.622473487660152</c:v>
                </c:pt>
                <c:pt idx="35">
                  <c:v>43.239181958792564</c:v>
                </c:pt>
                <c:pt idx="36">
                  <c:v>42.855890429924976</c:v>
                </c:pt>
                <c:pt idx="37">
                  <c:v>42.472598901057388</c:v>
                </c:pt>
                <c:pt idx="38">
                  <c:v>42.089307372189801</c:v>
                </c:pt>
                <c:pt idx="39">
                  <c:v>41.706015843322213</c:v>
                </c:pt>
                <c:pt idx="40">
                  <c:v>41.322724314454625</c:v>
                </c:pt>
                <c:pt idx="41">
                  <c:v>40.939432785587037</c:v>
                </c:pt>
                <c:pt idx="42">
                  <c:v>40.556141256719449</c:v>
                </c:pt>
                <c:pt idx="43">
                  <c:v>40.172849727851862</c:v>
                </c:pt>
                <c:pt idx="44">
                  <c:v>39.789558198984274</c:v>
                </c:pt>
                <c:pt idx="45">
                  <c:v>39.406266670116686</c:v>
                </c:pt>
                <c:pt idx="46">
                  <c:v>39.022975141249098</c:v>
                </c:pt>
                <c:pt idx="47">
                  <c:v>38.639683612381511</c:v>
                </c:pt>
                <c:pt idx="48">
                  <c:v>38.256392083513923</c:v>
                </c:pt>
                <c:pt idx="49">
                  <c:v>37.873100554646335</c:v>
                </c:pt>
                <c:pt idx="50">
                  <c:v>37.489809025778747</c:v>
                </c:pt>
                <c:pt idx="51">
                  <c:v>37.10651749691116</c:v>
                </c:pt>
                <c:pt idx="52">
                  <c:v>36.723225968043572</c:v>
                </c:pt>
                <c:pt idx="53">
                  <c:v>36.339934439175984</c:v>
                </c:pt>
                <c:pt idx="54">
                  <c:v>35.956642910308396</c:v>
                </c:pt>
                <c:pt idx="55">
                  <c:v>35.573351381440808</c:v>
                </c:pt>
                <c:pt idx="56">
                  <c:v>35.190059852573221</c:v>
                </c:pt>
                <c:pt idx="57">
                  <c:v>34.806768323705633</c:v>
                </c:pt>
                <c:pt idx="58">
                  <c:v>34.423476794838045</c:v>
                </c:pt>
                <c:pt idx="59">
                  <c:v>34.040185265970457</c:v>
                </c:pt>
                <c:pt idx="60">
                  <c:v>33.65689373710287</c:v>
                </c:pt>
                <c:pt idx="61">
                  <c:v>33.273602208235282</c:v>
                </c:pt>
                <c:pt idx="62">
                  <c:v>32.890310679367694</c:v>
                </c:pt>
                <c:pt idx="63">
                  <c:v>32.507019150500106</c:v>
                </c:pt>
                <c:pt idx="64">
                  <c:v>32.123727621632518</c:v>
                </c:pt>
                <c:pt idx="65">
                  <c:v>31.740436092764931</c:v>
                </c:pt>
                <c:pt idx="66">
                  <c:v>31.357144563897343</c:v>
                </c:pt>
                <c:pt idx="67">
                  <c:v>30.973853035029755</c:v>
                </c:pt>
                <c:pt idx="68">
                  <c:v>30.590561506162167</c:v>
                </c:pt>
                <c:pt idx="69">
                  <c:v>30.20726997729458</c:v>
                </c:pt>
                <c:pt idx="70">
                  <c:v>29.823978448426992</c:v>
                </c:pt>
                <c:pt idx="71">
                  <c:v>29.440686919559404</c:v>
                </c:pt>
                <c:pt idx="72">
                  <c:v>29.057395390691816</c:v>
                </c:pt>
                <c:pt idx="73">
                  <c:v>28.674103861824229</c:v>
                </c:pt>
                <c:pt idx="74">
                  <c:v>28.290812332956641</c:v>
                </c:pt>
                <c:pt idx="75">
                  <c:v>27.907520804089053</c:v>
                </c:pt>
                <c:pt idx="76">
                  <c:v>27.524229275221465</c:v>
                </c:pt>
                <c:pt idx="77">
                  <c:v>27.140937746353877</c:v>
                </c:pt>
                <c:pt idx="78">
                  <c:v>26.75764621748629</c:v>
                </c:pt>
                <c:pt idx="79">
                  <c:v>26.374354688618702</c:v>
                </c:pt>
                <c:pt idx="80">
                  <c:v>25.991063159751114</c:v>
                </c:pt>
                <c:pt idx="81">
                  <c:v>25.607771630883526</c:v>
                </c:pt>
                <c:pt idx="82">
                  <c:v>25.224480102015939</c:v>
                </c:pt>
                <c:pt idx="83">
                  <c:v>24.841188573148351</c:v>
                </c:pt>
                <c:pt idx="84">
                  <c:v>24.457897044280763</c:v>
                </c:pt>
                <c:pt idx="85">
                  <c:v>24.074605515413175</c:v>
                </c:pt>
                <c:pt idx="86">
                  <c:v>23.691313986545588</c:v>
                </c:pt>
                <c:pt idx="87">
                  <c:v>23.308022457678</c:v>
                </c:pt>
                <c:pt idx="88">
                  <c:v>22.924730928810412</c:v>
                </c:pt>
                <c:pt idx="89">
                  <c:v>22.541439399942824</c:v>
                </c:pt>
                <c:pt idx="90">
                  <c:v>22.158147871075236</c:v>
                </c:pt>
                <c:pt idx="91">
                  <c:v>21.774856342207649</c:v>
                </c:pt>
                <c:pt idx="92">
                  <c:v>21.391564813340061</c:v>
                </c:pt>
                <c:pt idx="93">
                  <c:v>21.008273284472473</c:v>
                </c:pt>
                <c:pt idx="94">
                  <c:v>20.624981755604885</c:v>
                </c:pt>
                <c:pt idx="95">
                  <c:v>20.241690226737298</c:v>
                </c:pt>
                <c:pt idx="96">
                  <c:v>19.85839869786971</c:v>
                </c:pt>
                <c:pt idx="97">
                  <c:v>19.475107169002122</c:v>
                </c:pt>
                <c:pt idx="98">
                  <c:v>19.091815640134534</c:v>
                </c:pt>
                <c:pt idx="99">
                  <c:v>18.708524111266946</c:v>
                </c:pt>
                <c:pt idx="100">
                  <c:v>18.325232582399359</c:v>
                </c:pt>
                <c:pt idx="101">
                  <c:v>17.941941053531771</c:v>
                </c:pt>
                <c:pt idx="102">
                  <c:v>17.558649524664183</c:v>
                </c:pt>
                <c:pt idx="103">
                  <c:v>17.175357995796595</c:v>
                </c:pt>
                <c:pt idx="104">
                  <c:v>16.792066466929008</c:v>
                </c:pt>
                <c:pt idx="105">
                  <c:v>16.40877493806142</c:v>
                </c:pt>
                <c:pt idx="106">
                  <c:v>16.025483409193832</c:v>
                </c:pt>
                <c:pt idx="107">
                  <c:v>15.642191880326244</c:v>
                </c:pt>
                <c:pt idx="108">
                  <c:v>15.258900351458657</c:v>
                </c:pt>
                <c:pt idx="109">
                  <c:v>14.875608822591069</c:v>
                </c:pt>
                <c:pt idx="110">
                  <c:v>14.492317293723481</c:v>
                </c:pt>
                <c:pt idx="111">
                  <c:v>14.109025764855893</c:v>
                </c:pt>
                <c:pt idx="112">
                  <c:v>13.725734235988305</c:v>
                </c:pt>
                <c:pt idx="113">
                  <c:v>13.342442707120718</c:v>
                </c:pt>
                <c:pt idx="114">
                  <c:v>12.95915117825313</c:v>
                </c:pt>
                <c:pt idx="115">
                  <c:v>12.575859649385542</c:v>
                </c:pt>
                <c:pt idx="116">
                  <c:v>12.192568120517954</c:v>
                </c:pt>
                <c:pt idx="117">
                  <c:v>11.809276591650367</c:v>
                </c:pt>
                <c:pt idx="118">
                  <c:v>11.425985062782779</c:v>
                </c:pt>
                <c:pt idx="119">
                  <c:v>11.042693533915191</c:v>
                </c:pt>
                <c:pt idx="120">
                  <c:v>10.659402005047603</c:v>
                </c:pt>
                <c:pt idx="121">
                  <c:v>10.276110476180015</c:v>
                </c:pt>
                <c:pt idx="122">
                  <c:v>9.8928189473124277</c:v>
                </c:pt>
                <c:pt idx="123">
                  <c:v>9.50952741844484</c:v>
                </c:pt>
                <c:pt idx="124">
                  <c:v>9.1262358895772522</c:v>
                </c:pt>
                <c:pt idx="125">
                  <c:v>8.7429443607096644</c:v>
                </c:pt>
                <c:pt idx="126">
                  <c:v>8.3596528318420766</c:v>
                </c:pt>
                <c:pt idx="127">
                  <c:v>7.976361302974488</c:v>
                </c:pt>
                <c:pt idx="128">
                  <c:v>7.5930697741068993</c:v>
                </c:pt>
                <c:pt idx="129">
                  <c:v>7.2097782452393107</c:v>
                </c:pt>
                <c:pt idx="130">
                  <c:v>6.826486716371722</c:v>
                </c:pt>
                <c:pt idx="131">
                  <c:v>6.4431951875041333</c:v>
                </c:pt>
                <c:pt idx="132">
                  <c:v>6.0599036586365447</c:v>
                </c:pt>
                <c:pt idx="133">
                  <c:v>5.676612129768956</c:v>
                </c:pt>
                <c:pt idx="134">
                  <c:v>5.2933206009013674</c:v>
                </c:pt>
                <c:pt idx="135">
                  <c:v>4.9100290720337787</c:v>
                </c:pt>
                <c:pt idx="136">
                  <c:v>4.52673754316619</c:v>
                </c:pt>
                <c:pt idx="137">
                  <c:v>4.1434460142986014</c:v>
                </c:pt>
                <c:pt idx="138">
                  <c:v>3.7601544854310132</c:v>
                </c:pt>
                <c:pt idx="139">
                  <c:v>3.3768629565634249</c:v>
                </c:pt>
                <c:pt idx="140">
                  <c:v>2.9935714276958367</c:v>
                </c:pt>
                <c:pt idx="141">
                  <c:v>2.6102798988282485</c:v>
                </c:pt>
                <c:pt idx="142">
                  <c:v>2.2269883699606603</c:v>
                </c:pt>
                <c:pt idx="143">
                  <c:v>1.8436968410930721</c:v>
                </c:pt>
                <c:pt idx="144">
                  <c:v>1.4604053122254839</c:v>
                </c:pt>
                <c:pt idx="145">
                  <c:v>1.0771137833578956</c:v>
                </c:pt>
                <c:pt idx="146">
                  <c:v>0.69382225449030743</c:v>
                </c:pt>
                <c:pt idx="147">
                  <c:v>0.31053072562271916</c:v>
                </c:pt>
                <c:pt idx="148">
                  <c:v>-7.276080324486911E-2</c:v>
                </c:pt>
                <c:pt idx="149">
                  <c:v>-0.45605233211245738</c:v>
                </c:pt>
                <c:pt idx="150">
                  <c:v>-0.83934386098004565</c:v>
                </c:pt>
                <c:pt idx="151">
                  <c:v>-1.2226353898476339</c:v>
                </c:pt>
                <c:pt idx="152">
                  <c:v>-1.6059269187152221</c:v>
                </c:pt>
                <c:pt idx="153">
                  <c:v>-1.9892184475828103</c:v>
                </c:pt>
                <c:pt idx="154">
                  <c:v>-2.3725099764503987</c:v>
                </c:pt>
                <c:pt idx="155">
                  <c:v>-2.755801505317987</c:v>
                </c:pt>
                <c:pt idx="156">
                  <c:v>-3.1390930341855752</c:v>
                </c:pt>
                <c:pt idx="157">
                  <c:v>-3.5223845630531634</c:v>
                </c:pt>
                <c:pt idx="158">
                  <c:v>-3.9056760919207516</c:v>
                </c:pt>
                <c:pt idx="159">
                  <c:v>-4.2889676207883403</c:v>
                </c:pt>
                <c:pt idx="160">
                  <c:v>-4.6722591496559289</c:v>
                </c:pt>
                <c:pt idx="161">
                  <c:v>-5.0555506785235176</c:v>
                </c:pt>
                <c:pt idx="162">
                  <c:v>-5.4388422073911062</c:v>
                </c:pt>
                <c:pt idx="163">
                  <c:v>-5.8221337362586949</c:v>
                </c:pt>
                <c:pt idx="164">
                  <c:v>-6.2054252651262836</c:v>
                </c:pt>
                <c:pt idx="165">
                  <c:v>-6.5887167939938722</c:v>
                </c:pt>
                <c:pt idx="166">
                  <c:v>-6.9720083228614609</c:v>
                </c:pt>
                <c:pt idx="167">
                  <c:v>-7.3552998517290495</c:v>
                </c:pt>
                <c:pt idx="168">
                  <c:v>-7.7385913805966382</c:v>
                </c:pt>
                <c:pt idx="169">
                  <c:v>-8.121882909464226</c:v>
                </c:pt>
                <c:pt idx="170">
                  <c:v>-8.5051744383318137</c:v>
                </c:pt>
                <c:pt idx="171">
                  <c:v>-8.8884659671994015</c:v>
                </c:pt>
                <c:pt idx="172">
                  <c:v>-9.2717574960669893</c:v>
                </c:pt>
                <c:pt idx="173">
                  <c:v>-9.6550490249345771</c:v>
                </c:pt>
                <c:pt idx="174">
                  <c:v>-10.038340553802165</c:v>
                </c:pt>
                <c:pt idx="175">
                  <c:v>-10.421632082669753</c:v>
                </c:pt>
                <c:pt idx="176">
                  <c:v>-10.80492361153734</c:v>
                </c:pt>
                <c:pt idx="177">
                  <c:v>-11.188215140404928</c:v>
                </c:pt>
                <c:pt idx="178">
                  <c:v>-11.571506669272516</c:v>
                </c:pt>
                <c:pt idx="179">
                  <c:v>-11.941054662610044</c:v>
                </c:pt>
                <c:pt idx="180">
                  <c:v>-11.941054662610044</c:v>
                </c:pt>
                <c:pt idx="181">
                  <c:v>-11.941054662610044</c:v>
                </c:pt>
                <c:pt idx="182">
                  <c:v>-11.941054662610044</c:v>
                </c:pt>
                <c:pt idx="183">
                  <c:v>-11.941054662610044</c:v>
                </c:pt>
                <c:pt idx="184">
                  <c:v>-11.941054662610044</c:v>
                </c:pt>
                <c:pt idx="185">
                  <c:v>-11.941054662610044</c:v>
                </c:pt>
                <c:pt idx="186">
                  <c:v>35.794161516715647</c:v>
                </c:pt>
                <c:pt idx="187" formatCode="0.00_ ;[Red]\-0.00\ ">
                  <c:v>22.136615128476091</c:v>
                </c:pt>
                <c:pt idx="188" formatCode="0.00_ ;[Red]\-0.00\ ">
                  <c:v>22.153147871075191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6B5-A94A-9BEA-36F714C627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219597184"/>
        <c:axId val="-1219542448"/>
      </c:scatterChart>
      <c:valAx>
        <c:axId val="-1219597184"/>
        <c:scaling>
          <c:orientation val="minMax"/>
          <c:max val="180"/>
          <c:min val="-18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2"/>
              </a:solidFill>
              <a:round/>
            </a:ln>
            <a:effectLst/>
          </c:spPr>
        </c:minorGridlines>
        <c:numFmt formatCode="0\°_ ;[Red]\-0\°\ 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Helvetica Neue" panose="02000503000000020004" pitchFamily="2" charset="0"/>
                <a:ea typeface="Helvetica Neue" panose="02000503000000020004" pitchFamily="2" charset="0"/>
                <a:cs typeface="Helvetica Neue" panose="02000503000000020004" pitchFamily="2" charset="0"/>
              </a:defRPr>
            </a:pPr>
            <a:endParaRPr lang="de-DE"/>
          </a:p>
        </c:txPr>
        <c:crossAx val="-1219542448"/>
        <c:crosses val="autoZero"/>
        <c:crossBetween val="midCat"/>
        <c:majorUnit val="90"/>
        <c:minorUnit val="10"/>
      </c:valAx>
      <c:valAx>
        <c:axId val="-1219542448"/>
        <c:scaling>
          <c:orientation val="minMax"/>
          <c:max val="90"/>
          <c:min val="-90"/>
        </c:scaling>
        <c:delete val="0"/>
        <c:axPos val="l"/>
        <c:majorGridlines>
          <c:spPr>
            <a:ln w="9525" cap="flat" cmpd="sng" algn="ctr">
              <a:solidFill>
                <a:schemeClr val="bg2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\°_ ;[Red]\-0\°\ 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Helvetica Neue" panose="02000503000000020004" pitchFamily="2" charset="0"/>
                <a:ea typeface="Helvetica Neue" panose="02000503000000020004" pitchFamily="2" charset="0"/>
                <a:cs typeface="Helvetica Neue" panose="02000503000000020004" pitchFamily="2" charset="0"/>
              </a:defRPr>
            </a:pPr>
            <a:endParaRPr lang="de-DE"/>
          </a:p>
        </c:txPr>
        <c:crossAx val="-1219597184"/>
        <c:crosses val="autoZero"/>
        <c:crossBetween val="midCat"/>
        <c:majorUnit val="30"/>
        <c:minorUnit val="10"/>
      </c:valAx>
      <c:spPr>
        <a:noFill/>
        <a:ln>
          <a:solidFill>
            <a:schemeClr val="bg2">
              <a:lumMod val="90000"/>
            </a:schemeClr>
          </a:solidFill>
        </a:ln>
        <a:effectLst/>
      </c:spPr>
    </c:plotArea>
    <c:plotVisOnly val="0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C00000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317500</xdr:colOff>
      <xdr:row>38</xdr:row>
      <xdr:rowOff>0</xdr:rowOff>
    </xdr:from>
    <xdr:to>
      <xdr:col>8</xdr:col>
      <xdr:colOff>0</xdr:colOff>
      <xdr:row>57</xdr:row>
      <xdr:rowOff>25400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4A63F015-7B30-BE48-A546-2D9B03B666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317500</xdr:colOff>
      <xdr:row>38</xdr:row>
      <xdr:rowOff>12700</xdr:rowOff>
    </xdr:from>
    <xdr:to>
      <xdr:col>16</xdr:col>
      <xdr:colOff>0</xdr:colOff>
      <xdr:row>63</xdr:row>
      <xdr:rowOff>165100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AE6A0E68-3AA7-0440-91E6-96E74C4464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381000</xdr:colOff>
      <xdr:row>1</xdr:row>
      <xdr:rowOff>63500</xdr:rowOff>
    </xdr:from>
    <xdr:to>
      <xdr:col>7</xdr:col>
      <xdr:colOff>493825</xdr:colOff>
      <xdr:row>4</xdr:row>
      <xdr:rowOff>88900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CA7B08F1-3110-6A43-8553-DD309287C3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165600" y="266700"/>
          <a:ext cx="1306625" cy="914400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0.08039</cdr:x>
      <cdr:y>0.08218</cdr:y>
    </cdr:from>
    <cdr:to>
      <cdr:x>0.2113</cdr:x>
      <cdr:y>0.17221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4144687D-8649-3B49-828A-22AD30704366}"/>
            </a:ext>
          </a:extLst>
        </cdr:cNvPr>
        <cdr:cNvSpPr txBox="1"/>
      </cdr:nvSpPr>
      <cdr:spPr>
        <a:xfrm xmlns:a="http://schemas.openxmlformats.org/drawingml/2006/main">
          <a:off x="881082" y="447741"/>
          <a:ext cx="1434787" cy="4905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0.87666</cdr:x>
      <cdr:y>0.41058</cdr:y>
    </cdr:from>
    <cdr:to>
      <cdr:x>0.93113</cdr:x>
      <cdr:y>0.47471</cdr:y>
    </cdr:to>
    <cdr:sp macro="" textlink="">
      <cdr:nvSpPr>
        <cdr:cNvPr id="3" name="Textfeld 1">
          <a:extLst xmlns:a="http://schemas.openxmlformats.org/drawingml/2006/main">
            <a:ext uri="{FF2B5EF4-FFF2-40B4-BE49-F238E27FC236}">
              <a16:creationId xmlns:a16="http://schemas.microsoft.com/office/drawing/2014/main" id="{65613A8A-A191-5244-B362-ACBECB4E4839}"/>
            </a:ext>
          </a:extLst>
        </cdr:cNvPr>
        <cdr:cNvSpPr txBox="1"/>
      </cdr:nvSpPr>
      <cdr:spPr>
        <a:xfrm xmlns:a="http://schemas.openxmlformats.org/drawingml/2006/main">
          <a:off x="4609293" y="1595605"/>
          <a:ext cx="286392" cy="2492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1600">
              <a:latin typeface="Lucida Calligraphy" panose="03010101010101010101" pitchFamily="66" charset="77"/>
            </a:rPr>
            <a:t>E</a:t>
          </a:r>
        </a:p>
      </cdr:txBody>
    </cdr:sp>
  </cdr:relSizeAnchor>
  <cdr:relSizeAnchor xmlns:cdr="http://schemas.openxmlformats.org/drawingml/2006/chartDrawing">
    <cdr:from>
      <cdr:x>0.47896</cdr:x>
      <cdr:y>0.03727</cdr:y>
    </cdr:from>
    <cdr:to>
      <cdr:x>0.57772</cdr:x>
      <cdr:y>0.08504</cdr:y>
    </cdr:to>
    <cdr:sp macro="" textlink="">
      <cdr:nvSpPr>
        <cdr:cNvPr id="4" name="Textfeld 1">
          <a:extLst xmlns:a="http://schemas.openxmlformats.org/drawingml/2006/main">
            <a:ext uri="{FF2B5EF4-FFF2-40B4-BE49-F238E27FC236}">
              <a16:creationId xmlns:a16="http://schemas.microsoft.com/office/drawing/2014/main" id="{65613A8A-A191-5244-B362-ACBECB4E4839}"/>
            </a:ext>
          </a:extLst>
        </cdr:cNvPr>
        <cdr:cNvSpPr txBox="1"/>
      </cdr:nvSpPr>
      <cdr:spPr>
        <a:xfrm xmlns:a="http://schemas.openxmlformats.org/drawingml/2006/main">
          <a:off x="2518252" y="144839"/>
          <a:ext cx="519260" cy="1856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1600">
              <a:latin typeface="Lucida Calligraphy" panose="03010101010101010101" pitchFamily="66" charset="77"/>
            </a:rPr>
            <a:t>N</a:t>
          </a:r>
        </a:p>
      </cdr:txBody>
    </cdr:sp>
  </cdr:relSizeAnchor>
  <cdr:relSizeAnchor xmlns:cdr="http://schemas.openxmlformats.org/drawingml/2006/chartDrawing">
    <cdr:from>
      <cdr:x>0.09466</cdr:x>
      <cdr:y>0.41387</cdr:y>
    </cdr:from>
    <cdr:to>
      <cdr:x>0.19343</cdr:x>
      <cdr:y>0.46164</cdr:y>
    </cdr:to>
    <cdr:sp macro="" textlink="">
      <cdr:nvSpPr>
        <cdr:cNvPr id="5" name="Textfeld 1">
          <a:extLst xmlns:a="http://schemas.openxmlformats.org/drawingml/2006/main">
            <a:ext uri="{FF2B5EF4-FFF2-40B4-BE49-F238E27FC236}">
              <a16:creationId xmlns:a16="http://schemas.microsoft.com/office/drawing/2014/main" id="{65613A8A-A191-5244-B362-ACBECB4E4839}"/>
            </a:ext>
          </a:extLst>
        </cdr:cNvPr>
        <cdr:cNvSpPr txBox="1"/>
      </cdr:nvSpPr>
      <cdr:spPr>
        <a:xfrm xmlns:a="http://schemas.openxmlformats.org/drawingml/2006/main">
          <a:off x="497723" y="1608398"/>
          <a:ext cx="519313" cy="1856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1600">
              <a:latin typeface="Lucida Calligraphy" panose="03010101010101010101" pitchFamily="66" charset="77"/>
            </a:rPr>
            <a:t>W</a:t>
          </a:r>
        </a:p>
      </cdr:txBody>
    </cdr:sp>
  </cdr:relSizeAnchor>
  <cdr:relSizeAnchor xmlns:cdr="http://schemas.openxmlformats.org/drawingml/2006/chartDrawing">
    <cdr:from>
      <cdr:x>0.49426</cdr:x>
      <cdr:y>0.87234</cdr:y>
    </cdr:from>
    <cdr:to>
      <cdr:x>0.59302</cdr:x>
      <cdr:y>0.92959</cdr:y>
    </cdr:to>
    <cdr:sp macro="" textlink="">
      <cdr:nvSpPr>
        <cdr:cNvPr id="7" name="Textfeld 1">
          <a:extLst xmlns:a="http://schemas.openxmlformats.org/drawingml/2006/main">
            <a:ext uri="{FF2B5EF4-FFF2-40B4-BE49-F238E27FC236}">
              <a16:creationId xmlns:a16="http://schemas.microsoft.com/office/drawing/2014/main" id="{7181EBBA-D852-7B44-B361-30207C8D50F8}"/>
            </a:ext>
          </a:extLst>
        </cdr:cNvPr>
        <cdr:cNvSpPr txBox="1"/>
      </cdr:nvSpPr>
      <cdr:spPr>
        <a:xfrm xmlns:a="http://schemas.openxmlformats.org/drawingml/2006/main">
          <a:off x="2598706" y="3390089"/>
          <a:ext cx="519260" cy="2224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1600">
              <a:latin typeface="Lucida Calligraphy" panose="03010101010101010101" pitchFamily="66" charset="77"/>
            </a:rPr>
            <a:t>S</a:t>
          </a:r>
        </a:p>
      </cdr:txBody>
    </cdr:sp>
  </cdr:relSizeAnchor>
  <cdr:relSizeAnchor xmlns:cdr="http://schemas.openxmlformats.org/drawingml/2006/chartDrawing">
    <cdr:from>
      <cdr:x>0.15031</cdr:x>
      <cdr:y>0.4456</cdr:y>
    </cdr:from>
    <cdr:to>
      <cdr:x>0.32753</cdr:x>
      <cdr:y>0.48264</cdr:y>
    </cdr:to>
    <cdr:sp macro="" textlink="">
      <cdr:nvSpPr>
        <cdr:cNvPr id="10" name="Textfeld 1">
          <a:extLst xmlns:a="http://schemas.openxmlformats.org/drawingml/2006/main">
            <a:ext uri="{FF2B5EF4-FFF2-40B4-BE49-F238E27FC236}">
              <a16:creationId xmlns:a16="http://schemas.microsoft.com/office/drawing/2014/main" id="{5AF8B956-F0CC-ED4B-AE99-C66B7F0452FB}"/>
            </a:ext>
          </a:extLst>
        </cdr:cNvPr>
        <cdr:cNvSpPr txBox="1"/>
      </cdr:nvSpPr>
      <cdr:spPr>
        <a:xfrm xmlns:a="http://schemas.openxmlformats.org/drawingml/2006/main">
          <a:off x="943022" y="2263648"/>
          <a:ext cx="1111843" cy="1881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1200">
              <a:latin typeface="Helvetica Neue" panose="02000503000000020004" pitchFamily="2" charset="0"/>
              <a:ea typeface="Helvetica Neue" panose="02000503000000020004" pitchFamily="2" charset="0"/>
              <a:cs typeface="Helvetica Neue" panose="02000503000000020004" pitchFamily="2" charset="0"/>
            </a:rPr>
            <a:t>Äquator</a:t>
          </a:r>
        </a:p>
      </cdr:txBody>
    </cdr:sp>
  </cdr:relSizeAnchor>
  <cdr:relSizeAnchor xmlns:cdr="http://schemas.openxmlformats.org/drawingml/2006/chartDrawing">
    <cdr:from>
      <cdr:x>0.09179</cdr:x>
      <cdr:y>0.49917</cdr:y>
    </cdr:from>
    <cdr:to>
      <cdr:x>0.95411</cdr:x>
      <cdr:y>0.49917</cdr:y>
    </cdr:to>
    <cdr:cxnSp macro="">
      <cdr:nvCxnSpPr>
        <cdr:cNvPr id="12" name="Gerade Verbindung 11">
          <a:extLst xmlns:a="http://schemas.openxmlformats.org/drawingml/2006/main">
            <a:ext uri="{FF2B5EF4-FFF2-40B4-BE49-F238E27FC236}">
              <a16:creationId xmlns:a16="http://schemas.microsoft.com/office/drawing/2014/main" id="{8A5C88C7-9A55-B246-AF0E-1ECE87005B7D}"/>
            </a:ext>
          </a:extLst>
        </cdr:cNvPr>
        <cdr:cNvCxnSpPr/>
      </cdr:nvCxnSpPr>
      <cdr:spPr>
        <a:xfrm xmlns:a="http://schemas.openxmlformats.org/drawingml/2006/main">
          <a:off x="482600" y="1939859"/>
          <a:ext cx="4533900" cy="0"/>
        </a:xfrm>
        <a:prstGeom xmlns:a="http://schemas.openxmlformats.org/drawingml/2006/main" prst="line">
          <a:avLst/>
        </a:prstGeom>
        <a:ln xmlns:a="http://schemas.openxmlformats.org/drawingml/2006/main" w="22225">
          <a:solidFill>
            <a:srgbClr val="FFC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0.49929</cdr:x>
      <cdr:y>0.86687</cdr:y>
    </cdr:from>
    <cdr:to>
      <cdr:x>0.59805</cdr:x>
      <cdr:y>0.92658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FAF1CB92-EADE-AA44-AC95-56E197A65996}"/>
            </a:ext>
          </a:extLst>
        </cdr:cNvPr>
        <cdr:cNvSpPr txBox="1"/>
      </cdr:nvSpPr>
      <cdr:spPr>
        <a:xfrm xmlns:a="http://schemas.openxmlformats.org/drawingml/2006/main">
          <a:off x="2739331" y="4755973"/>
          <a:ext cx="541837" cy="3275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1600">
              <a:latin typeface="Lucida Calligraphy" panose="03010101010101010101" pitchFamily="66" charset="77"/>
            </a:rPr>
            <a:t>S</a:t>
          </a:r>
        </a:p>
      </cdr:txBody>
    </cdr:sp>
  </cdr:relSizeAnchor>
  <cdr:relSizeAnchor xmlns:cdr="http://schemas.openxmlformats.org/drawingml/2006/chartDrawing">
    <cdr:from>
      <cdr:x>0.49071</cdr:x>
      <cdr:y>0.03082</cdr:y>
    </cdr:from>
    <cdr:to>
      <cdr:x>0.58947</cdr:x>
      <cdr:y>0.09054</cdr:y>
    </cdr:to>
    <cdr:sp macro="" textlink="">
      <cdr:nvSpPr>
        <cdr:cNvPr id="3" name="Textfeld 1">
          <a:extLst xmlns:a="http://schemas.openxmlformats.org/drawingml/2006/main">
            <a:ext uri="{FF2B5EF4-FFF2-40B4-BE49-F238E27FC236}">
              <a16:creationId xmlns:a16="http://schemas.microsoft.com/office/drawing/2014/main" id="{738E45C9-B192-1F4D-90FE-C44F6EAC77EF}"/>
            </a:ext>
          </a:extLst>
        </cdr:cNvPr>
        <cdr:cNvSpPr txBox="1"/>
      </cdr:nvSpPr>
      <cdr:spPr>
        <a:xfrm xmlns:a="http://schemas.openxmlformats.org/drawingml/2006/main">
          <a:off x="2692258" y="169109"/>
          <a:ext cx="541837" cy="3276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1600">
              <a:latin typeface="Lucida Calligraphy" panose="03010101010101010101" pitchFamily="66" charset="77"/>
            </a:rPr>
            <a:t>N</a:t>
          </a:r>
        </a:p>
      </cdr:txBody>
    </cdr:sp>
  </cdr:relSizeAnchor>
  <cdr:relSizeAnchor xmlns:cdr="http://schemas.openxmlformats.org/drawingml/2006/chartDrawing">
    <cdr:from>
      <cdr:x>0.87043</cdr:x>
      <cdr:y>0.42537</cdr:y>
    </cdr:from>
    <cdr:to>
      <cdr:x>0.96919</cdr:x>
      <cdr:y>0.48509</cdr:y>
    </cdr:to>
    <cdr:sp macro="" textlink="">
      <cdr:nvSpPr>
        <cdr:cNvPr id="4" name="Textfeld 1">
          <a:extLst xmlns:a="http://schemas.openxmlformats.org/drawingml/2006/main">
            <a:ext uri="{FF2B5EF4-FFF2-40B4-BE49-F238E27FC236}">
              <a16:creationId xmlns:a16="http://schemas.microsoft.com/office/drawing/2014/main" id="{738E45C9-B192-1F4D-90FE-C44F6EAC77EF}"/>
            </a:ext>
          </a:extLst>
        </cdr:cNvPr>
        <cdr:cNvSpPr txBox="1"/>
      </cdr:nvSpPr>
      <cdr:spPr>
        <a:xfrm xmlns:a="http://schemas.openxmlformats.org/drawingml/2006/main">
          <a:off x="4775519" y="2333738"/>
          <a:ext cx="541837" cy="3276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1600">
              <a:latin typeface="Lucida Calligraphy" panose="03010101010101010101" pitchFamily="66" charset="77"/>
            </a:rPr>
            <a:t>E</a:t>
          </a:r>
        </a:p>
      </cdr:txBody>
    </cdr:sp>
  </cdr:relSizeAnchor>
  <cdr:relSizeAnchor xmlns:cdr="http://schemas.openxmlformats.org/drawingml/2006/chartDrawing">
    <cdr:from>
      <cdr:x>0.12277</cdr:x>
      <cdr:y>0.42791</cdr:y>
    </cdr:from>
    <cdr:to>
      <cdr:x>0.22153</cdr:x>
      <cdr:y>0.48763</cdr:y>
    </cdr:to>
    <cdr:sp macro="" textlink="">
      <cdr:nvSpPr>
        <cdr:cNvPr id="5" name="Textfeld 1">
          <a:extLst xmlns:a="http://schemas.openxmlformats.org/drawingml/2006/main">
            <a:ext uri="{FF2B5EF4-FFF2-40B4-BE49-F238E27FC236}">
              <a16:creationId xmlns:a16="http://schemas.microsoft.com/office/drawing/2014/main" id="{738E45C9-B192-1F4D-90FE-C44F6EAC77EF}"/>
            </a:ext>
          </a:extLst>
        </cdr:cNvPr>
        <cdr:cNvSpPr txBox="1"/>
      </cdr:nvSpPr>
      <cdr:spPr>
        <a:xfrm xmlns:a="http://schemas.openxmlformats.org/drawingml/2006/main">
          <a:off x="673584" y="2347669"/>
          <a:ext cx="541836" cy="3276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1600">
              <a:latin typeface="Lucida Calligraphy" panose="03010101010101010101" pitchFamily="66" charset="77"/>
            </a:rPr>
            <a:t>W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6</xdr:row>
      <xdr:rowOff>0</xdr:rowOff>
    </xdr:from>
    <xdr:to>
      <xdr:col>8</xdr:col>
      <xdr:colOff>0</xdr:colOff>
      <xdr:row>33</xdr:row>
      <xdr:rowOff>12700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EB4F5AAF-3A85-3C4E-A6E4-FED0AF842D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0.49929</cdr:x>
      <cdr:y>0.86687</cdr:y>
    </cdr:from>
    <cdr:to>
      <cdr:x>0.59805</cdr:x>
      <cdr:y>0.92658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FAF1CB92-EADE-AA44-AC95-56E197A65996}"/>
            </a:ext>
          </a:extLst>
        </cdr:cNvPr>
        <cdr:cNvSpPr txBox="1"/>
      </cdr:nvSpPr>
      <cdr:spPr>
        <a:xfrm xmlns:a="http://schemas.openxmlformats.org/drawingml/2006/main">
          <a:off x="2739331" y="4755973"/>
          <a:ext cx="541837" cy="3275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1600">
              <a:latin typeface="Lucida Calligraphy" panose="03010101010101010101" pitchFamily="66" charset="77"/>
            </a:rPr>
            <a:t>S</a:t>
          </a:r>
        </a:p>
      </cdr:txBody>
    </cdr:sp>
  </cdr:relSizeAnchor>
  <cdr:relSizeAnchor xmlns:cdr="http://schemas.openxmlformats.org/drawingml/2006/chartDrawing">
    <cdr:from>
      <cdr:x>0.49071</cdr:x>
      <cdr:y>0.03082</cdr:y>
    </cdr:from>
    <cdr:to>
      <cdr:x>0.58947</cdr:x>
      <cdr:y>0.09054</cdr:y>
    </cdr:to>
    <cdr:sp macro="" textlink="">
      <cdr:nvSpPr>
        <cdr:cNvPr id="3" name="Textfeld 1">
          <a:extLst xmlns:a="http://schemas.openxmlformats.org/drawingml/2006/main">
            <a:ext uri="{FF2B5EF4-FFF2-40B4-BE49-F238E27FC236}">
              <a16:creationId xmlns:a16="http://schemas.microsoft.com/office/drawing/2014/main" id="{738E45C9-B192-1F4D-90FE-C44F6EAC77EF}"/>
            </a:ext>
          </a:extLst>
        </cdr:cNvPr>
        <cdr:cNvSpPr txBox="1"/>
      </cdr:nvSpPr>
      <cdr:spPr>
        <a:xfrm xmlns:a="http://schemas.openxmlformats.org/drawingml/2006/main">
          <a:off x="2692258" y="169109"/>
          <a:ext cx="541837" cy="3276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1600">
              <a:latin typeface="Lucida Calligraphy" panose="03010101010101010101" pitchFamily="66" charset="77"/>
            </a:rPr>
            <a:t>N</a:t>
          </a:r>
        </a:p>
      </cdr:txBody>
    </cdr:sp>
  </cdr:relSizeAnchor>
  <cdr:relSizeAnchor xmlns:cdr="http://schemas.openxmlformats.org/drawingml/2006/chartDrawing">
    <cdr:from>
      <cdr:x>0.87043</cdr:x>
      <cdr:y>0.42537</cdr:y>
    </cdr:from>
    <cdr:to>
      <cdr:x>0.96919</cdr:x>
      <cdr:y>0.48509</cdr:y>
    </cdr:to>
    <cdr:sp macro="" textlink="">
      <cdr:nvSpPr>
        <cdr:cNvPr id="4" name="Textfeld 1">
          <a:extLst xmlns:a="http://schemas.openxmlformats.org/drawingml/2006/main">
            <a:ext uri="{FF2B5EF4-FFF2-40B4-BE49-F238E27FC236}">
              <a16:creationId xmlns:a16="http://schemas.microsoft.com/office/drawing/2014/main" id="{738E45C9-B192-1F4D-90FE-C44F6EAC77EF}"/>
            </a:ext>
          </a:extLst>
        </cdr:cNvPr>
        <cdr:cNvSpPr txBox="1"/>
      </cdr:nvSpPr>
      <cdr:spPr>
        <a:xfrm xmlns:a="http://schemas.openxmlformats.org/drawingml/2006/main">
          <a:off x="4775519" y="2333738"/>
          <a:ext cx="541837" cy="3276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1600">
              <a:latin typeface="Lucida Calligraphy" panose="03010101010101010101" pitchFamily="66" charset="77"/>
            </a:rPr>
            <a:t>E</a:t>
          </a:r>
        </a:p>
      </cdr:txBody>
    </cdr:sp>
  </cdr:relSizeAnchor>
  <cdr:relSizeAnchor xmlns:cdr="http://schemas.openxmlformats.org/drawingml/2006/chartDrawing">
    <cdr:from>
      <cdr:x>0.12277</cdr:x>
      <cdr:y>0.42791</cdr:y>
    </cdr:from>
    <cdr:to>
      <cdr:x>0.22153</cdr:x>
      <cdr:y>0.48763</cdr:y>
    </cdr:to>
    <cdr:sp macro="" textlink="">
      <cdr:nvSpPr>
        <cdr:cNvPr id="5" name="Textfeld 1">
          <a:extLst xmlns:a="http://schemas.openxmlformats.org/drawingml/2006/main">
            <a:ext uri="{FF2B5EF4-FFF2-40B4-BE49-F238E27FC236}">
              <a16:creationId xmlns:a16="http://schemas.microsoft.com/office/drawing/2014/main" id="{738E45C9-B192-1F4D-90FE-C44F6EAC77EF}"/>
            </a:ext>
          </a:extLst>
        </cdr:cNvPr>
        <cdr:cNvSpPr txBox="1"/>
      </cdr:nvSpPr>
      <cdr:spPr>
        <a:xfrm xmlns:a="http://schemas.openxmlformats.org/drawingml/2006/main">
          <a:off x="673584" y="2347669"/>
          <a:ext cx="541836" cy="3276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1600">
              <a:latin typeface="Lucida Calligraphy" panose="03010101010101010101" pitchFamily="66" charset="77"/>
            </a:rPr>
            <a:t>W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215900</xdr:colOff>
      <xdr:row>2</xdr:row>
      <xdr:rowOff>127000</xdr:rowOff>
    </xdr:from>
    <xdr:to>
      <xdr:col>10</xdr:col>
      <xdr:colOff>723900</xdr:colOff>
      <xdr:row>27</xdr:row>
      <xdr:rowOff>101600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41BCAB90-EC4B-6848-996B-A9004E778B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0.08039</cdr:x>
      <cdr:y>0.08218</cdr:y>
    </cdr:from>
    <cdr:to>
      <cdr:x>0.2113</cdr:x>
      <cdr:y>0.17221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4144687D-8649-3B49-828A-22AD30704366}"/>
            </a:ext>
          </a:extLst>
        </cdr:cNvPr>
        <cdr:cNvSpPr txBox="1"/>
      </cdr:nvSpPr>
      <cdr:spPr>
        <a:xfrm xmlns:a="http://schemas.openxmlformats.org/drawingml/2006/main">
          <a:off x="431863" y="446462"/>
          <a:ext cx="703262" cy="4890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0.88851</cdr:x>
      <cdr:y>0.42974</cdr:y>
    </cdr:from>
    <cdr:to>
      <cdr:x>0.98727</cdr:x>
      <cdr:y>0.47751</cdr:y>
    </cdr:to>
    <cdr:sp macro="" textlink="">
      <cdr:nvSpPr>
        <cdr:cNvPr id="3" name="Textfeld 1">
          <a:extLst xmlns:a="http://schemas.openxmlformats.org/drawingml/2006/main">
            <a:ext uri="{FF2B5EF4-FFF2-40B4-BE49-F238E27FC236}">
              <a16:creationId xmlns:a16="http://schemas.microsoft.com/office/drawing/2014/main" id="{65613A8A-A191-5244-B362-ACBECB4E4839}"/>
            </a:ext>
          </a:extLst>
        </cdr:cNvPr>
        <cdr:cNvSpPr txBox="1"/>
      </cdr:nvSpPr>
      <cdr:spPr>
        <a:xfrm xmlns:a="http://schemas.openxmlformats.org/drawingml/2006/main">
          <a:off x="7176667" y="2226754"/>
          <a:ext cx="797705" cy="247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1600">
              <a:latin typeface="Lucida Calligraphy" panose="03010101010101010101" pitchFamily="66" charset="77"/>
            </a:rPr>
            <a:t>E</a:t>
          </a:r>
        </a:p>
      </cdr:txBody>
    </cdr:sp>
  </cdr:relSizeAnchor>
  <cdr:relSizeAnchor xmlns:cdr="http://schemas.openxmlformats.org/drawingml/2006/chartDrawing">
    <cdr:from>
      <cdr:x>0.49355</cdr:x>
      <cdr:y>0.03261</cdr:y>
    </cdr:from>
    <cdr:to>
      <cdr:x>0.59231</cdr:x>
      <cdr:y>0.08038</cdr:y>
    </cdr:to>
    <cdr:sp macro="" textlink="">
      <cdr:nvSpPr>
        <cdr:cNvPr id="4" name="Textfeld 1">
          <a:extLst xmlns:a="http://schemas.openxmlformats.org/drawingml/2006/main">
            <a:ext uri="{FF2B5EF4-FFF2-40B4-BE49-F238E27FC236}">
              <a16:creationId xmlns:a16="http://schemas.microsoft.com/office/drawing/2014/main" id="{65613A8A-A191-5244-B362-ACBECB4E4839}"/>
            </a:ext>
          </a:extLst>
        </cdr:cNvPr>
        <cdr:cNvSpPr txBox="1"/>
      </cdr:nvSpPr>
      <cdr:spPr>
        <a:xfrm xmlns:a="http://schemas.openxmlformats.org/drawingml/2006/main">
          <a:off x="4099303" y="168972"/>
          <a:ext cx="820281" cy="247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1600">
              <a:latin typeface="Lucida Calligraphy" panose="03010101010101010101" pitchFamily="66" charset="77"/>
            </a:rPr>
            <a:t>N</a:t>
          </a:r>
        </a:p>
      </cdr:txBody>
    </cdr:sp>
  </cdr:relSizeAnchor>
  <cdr:relSizeAnchor xmlns:cdr="http://schemas.openxmlformats.org/drawingml/2006/chartDrawing">
    <cdr:from>
      <cdr:x>0.09205</cdr:x>
      <cdr:y>0.42963</cdr:y>
    </cdr:from>
    <cdr:to>
      <cdr:x>0.19081</cdr:x>
      <cdr:y>0.4774</cdr:y>
    </cdr:to>
    <cdr:sp macro="" textlink="">
      <cdr:nvSpPr>
        <cdr:cNvPr id="5" name="Textfeld 1">
          <a:extLst xmlns:a="http://schemas.openxmlformats.org/drawingml/2006/main">
            <a:ext uri="{FF2B5EF4-FFF2-40B4-BE49-F238E27FC236}">
              <a16:creationId xmlns:a16="http://schemas.microsoft.com/office/drawing/2014/main" id="{65613A8A-A191-5244-B362-ACBECB4E4839}"/>
            </a:ext>
          </a:extLst>
        </cdr:cNvPr>
        <cdr:cNvSpPr txBox="1"/>
      </cdr:nvSpPr>
      <cdr:spPr>
        <a:xfrm xmlns:a="http://schemas.openxmlformats.org/drawingml/2006/main">
          <a:off x="743469" y="2226184"/>
          <a:ext cx="797704" cy="247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1600">
              <a:latin typeface="Lucida Calligraphy" panose="03010101010101010101" pitchFamily="66" charset="77"/>
            </a:rPr>
            <a:t>W</a:t>
          </a:r>
        </a:p>
      </cdr:txBody>
    </cdr:sp>
  </cdr:relSizeAnchor>
  <cdr:relSizeAnchor xmlns:cdr="http://schemas.openxmlformats.org/drawingml/2006/chartDrawing">
    <cdr:from>
      <cdr:x>0.50281</cdr:x>
      <cdr:y>0.89102</cdr:y>
    </cdr:from>
    <cdr:to>
      <cdr:x>0.60157</cdr:x>
      <cdr:y>0.94827</cdr:y>
    </cdr:to>
    <cdr:sp macro="" textlink="">
      <cdr:nvSpPr>
        <cdr:cNvPr id="7" name="Textfeld 1">
          <a:extLst xmlns:a="http://schemas.openxmlformats.org/drawingml/2006/main">
            <a:ext uri="{FF2B5EF4-FFF2-40B4-BE49-F238E27FC236}">
              <a16:creationId xmlns:a16="http://schemas.microsoft.com/office/drawing/2014/main" id="{7181EBBA-D852-7B44-B361-30207C8D50F8}"/>
            </a:ext>
          </a:extLst>
        </cdr:cNvPr>
        <cdr:cNvSpPr txBox="1"/>
      </cdr:nvSpPr>
      <cdr:spPr>
        <a:xfrm xmlns:a="http://schemas.openxmlformats.org/drawingml/2006/main">
          <a:off x="4176275" y="4616923"/>
          <a:ext cx="820281" cy="2966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1600">
              <a:latin typeface="Lucida Calligraphy" panose="03010101010101010101" pitchFamily="66" charset="77"/>
            </a:rPr>
            <a:t>S</a:t>
          </a:r>
        </a:p>
      </cdr:txBody>
    </cdr:sp>
  </cdr:relSizeAnchor>
  <cdr:relSizeAnchor xmlns:cdr="http://schemas.openxmlformats.org/drawingml/2006/chartDrawing">
    <cdr:from>
      <cdr:x>0.23938</cdr:x>
      <cdr:y>0.4156</cdr:y>
    </cdr:from>
    <cdr:to>
      <cdr:x>0.4166</cdr:x>
      <cdr:y>0.45264</cdr:y>
    </cdr:to>
    <cdr:sp macro="" textlink="">
      <cdr:nvSpPr>
        <cdr:cNvPr id="10" name="Textfeld 1">
          <a:extLst xmlns:a="http://schemas.openxmlformats.org/drawingml/2006/main">
            <a:ext uri="{FF2B5EF4-FFF2-40B4-BE49-F238E27FC236}">
              <a16:creationId xmlns:a16="http://schemas.microsoft.com/office/drawing/2014/main" id="{5AF8B956-F0CC-ED4B-AE99-C66B7F0452FB}"/>
            </a:ext>
          </a:extLst>
        </cdr:cNvPr>
        <cdr:cNvSpPr txBox="1"/>
      </cdr:nvSpPr>
      <cdr:spPr>
        <a:xfrm xmlns:a="http://schemas.openxmlformats.org/drawingml/2006/main">
          <a:off x="1289029" y="1338884"/>
          <a:ext cx="954295" cy="1193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1200">
              <a:latin typeface="Helvetica Neue" panose="02000503000000020004" pitchFamily="2" charset="0"/>
              <a:ea typeface="Helvetica Neue" panose="02000503000000020004" pitchFamily="2" charset="0"/>
              <a:cs typeface="Helvetica Neue" panose="02000503000000020004" pitchFamily="2" charset="0"/>
            </a:rPr>
            <a:t>Äquator</a:t>
          </a:r>
        </a:p>
      </cdr:txBody>
    </cdr:sp>
  </cdr:relSizeAnchor>
  <cdr:relSizeAnchor xmlns:cdr="http://schemas.openxmlformats.org/drawingml/2006/chartDrawing">
    <cdr:from>
      <cdr:x>0.09123</cdr:x>
      <cdr:y>0.4995</cdr:y>
    </cdr:from>
    <cdr:to>
      <cdr:x>0.94938</cdr:x>
      <cdr:y>0.4995</cdr:y>
    </cdr:to>
    <cdr:cxnSp macro="">
      <cdr:nvCxnSpPr>
        <cdr:cNvPr id="12" name="Gerade Verbindung 11">
          <a:extLst xmlns:a="http://schemas.openxmlformats.org/drawingml/2006/main">
            <a:ext uri="{FF2B5EF4-FFF2-40B4-BE49-F238E27FC236}">
              <a16:creationId xmlns:a16="http://schemas.microsoft.com/office/drawing/2014/main" id="{8A5C88C7-9A55-B246-AF0E-1ECE87005B7D}"/>
            </a:ext>
          </a:extLst>
        </cdr:cNvPr>
        <cdr:cNvCxnSpPr/>
      </cdr:nvCxnSpPr>
      <cdr:spPr>
        <a:xfrm xmlns:a="http://schemas.openxmlformats.org/drawingml/2006/main">
          <a:off x="757707" y="2588209"/>
          <a:ext cx="7127622" cy="0"/>
        </a:xfrm>
        <a:prstGeom xmlns:a="http://schemas.openxmlformats.org/drawingml/2006/main" prst="line">
          <a:avLst/>
        </a:prstGeom>
        <a:ln xmlns:a="http://schemas.openxmlformats.org/drawingml/2006/main" w="22225">
          <a:solidFill>
            <a:srgbClr val="FFC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811C1-6476-9748-8E8F-8F37BC682E30}">
  <dimension ref="A1:AH92"/>
  <sheetViews>
    <sheetView showGridLines="0" showRowColHeaders="0" tabSelected="1" zoomScaleNormal="100" workbookViewId="0">
      <selection activeCell="C6" sqref="C6"/>
    </sheetView>
  </sheetViews>
  <sheetFormatPr baseColWidth="10" defaultRowHeight="16"/>
  <cols>
    <col min="1" max="1" width="4.33203125" customWidth="1"/>
    <col min="2" max="2" width="25.33203125" customWidth="1"/>
    <col min="3" max="4" width="7.83203125" customWidth="1"/>
    <col min="5" max="5" width="4.33203125" customWidth="1"/>
    <col min="6" max="8" width="7.83203125" customWidth="1"/>
    <col min="9" max="10" width="4.33203125" customWidth="1"/>
    <col min="11" max="16" width="11.83203125" customWidth="1"/>
    <col min="17" max="17" width="4.83203125" customWidth="1"/>
    <col min="20" max="20" width="4.83203125" customWidth="1"/>
    <col min="21" max="23" width="11.83203125" customWidth="1"/>
    <col min="24" max="24" width="10.83203125" customWidth="1"/>
    <col min="25" max="25" width="4.33203125" customWidth="1"/>
    <col min="26" max="26" width="12.1640625" bestFit="1" customWidth="1"/>
    <col min="28" max="28" width="10.83203125" customWidth="1"/>
  </cols>
  <sheetData>
    <row r="1" spans="1:25">
      <c r="A1" s="3"/>
      <c r="B1" s="3"/>
      <c r="C1" s="3"/>
      <c r="D1" s="3"/>
      <c r="E1" s="3"/>
      <c r="F1" s="3"/>
      <c r="G1" s="3"/>
      <c r="H1" s="14"/>
      <c r="I1" s="1"/>
      <c r="J1" s="1"/>
      <c r="K1" s="1"/>
      <c r="L1" s="1"/>
      <c r="M1" s="1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12"/>
    </row>
    <row r="2" spans="1:25" ht="27">
      <c r="A2" s="3"/>
      <c r="B2" s="200" t="s">
        <v>148</v>
      </c>
      <c r="C2" s="4"/>
      <c r="D2" s="4"/>
      <c r="E2" s="3"/>
      <c r="F2" s="3"/>
      <c r="G2" s="3"/>
      <c r="H2" s="3"/>
      <c r="I2" s="1"/>
      <c r="J2" s="1"/>
      <c r="K2" s="326" t="s">
        <v>146</v>
      </c>
      <c r="L2" s="328"/>
      <c r="M2" s="327"/>
      <c r="N2" s="6"/>
      <c r="O2" s="6"/>
      <c r="S2" s="98"/>
      <c r="T2" s="6"/>
      <c r="U2" s="6"/>
      <c r="V2" s="6"/>
      <c r="W2" s="6"/>
      <c r="X2" s="6"/>
      <c r="Y2" s="12"/>
    </row>
    <row r="3" spans="1:25">
      <c r="A3" s="3"/>
      <c r="B3" s="3" t="s">
        <v>145</v>
      </c>
      <c r="C3" s="3"/>
      <c r="D3" s="3"/>
      <c r="E3" s="3"/>
      <c r="F3" s="3"/>
      <c r="G3" s="3"/>
      <c r="H3" s="3"/>
      <c r="I3" s="1"/>
      <c r="J3" s="1"/>
      <c r="M3" s="61"/>
      <c r="N3" s="61"/>
      <c r="O3" s="61"/>
      <c r="P3" s="61"/>
      <c r="Q3" s="61"/>
      <c r="R3" s="61"/>
      <c r="S3" s="61"/>
      <c r="T3" s="61"/>
      <c r="U3" s="344"/>
      <c r="V3" s="61"/>
      <c r="W3" s="61"/>
      <c r="X3" s="61"/>
      <c r="Y3" s="12"/>
    </row>
    <row r="4" spans="1:25" ht="27">
      <c r="A4" s="3"/>
      <c r="B4" s="3"/>
      <c r="C4" s="3"/>
      <c r="D4" s="75"/>
      <c r="E4" s="3"/>
      <c r="F4" s="76"/>
      <c r="G4" s="76"/>
      <c r="H4" s="3"/>
      <c r="I4" s="1"/>
      <c r="J4" s="1"/>
      <c r="K4" s="1"/>
      <c r="L4" s="1"/>
      <c r="M4" s="1"/>
      <c r="N4" s="1"/>
      <c r="O4" s="1"/>
      <c r="Y4" s="12"/>
    </row>
    <row r="5" spans="1:25" ht="20" thickBot="1">
      <c r="A5" s="7"/>
      <c r="B5" s="9" t="s">
        <v>96</v>
      </c>
      <c r="C5" s="43"/>
      <c r="D5" s="44"/>
      <c r="E5" s="44"/>
      <c r="F5" s="16"/>
      <c r="G5" s="16"/>
      <c r="H5" s="62" t="str">
        <f>IF(OR(AND(H6="O",OR(H7="O",H7="U")),AND(H6="U",OR(H7="O",H7="U")))=TRUE," ","ERROR")</f>
        <v xml:space="preserve"> </v>
      </c>
      <c r="I5" s="12"/>
      <c r="J5" s="12"/>
      <c r="K5" s="27" t="s">
        <v>143</v>
      </c>
      <c r="L5" s="12"/>
      <c r="M5" s="12"/>
      <c r="N5" s="12"/>
      <c r="O5" s="12"/>
      <c r="P5" s="12"/>
      <c r="Q5" s="12"/>
      <c r="R5" s="45" t="s">
        <v>103</v>
      </c>
      <c r="S5" s="46"/>
      <c r="T5" s="7"/>
      <c r="U5" s="45" t="s">
        <v>112</v>
      </c>
      <c r="V5" s="7"/>
      <c r="W5" s="12"/>
      <c r="X5" s="12"/>
      <c r="Y5" s="12"/>
    </row>
    <row r="6" spans="1:25" ht="17" thickBot="1">
      <c r="A6" s="3"/>
      <c r="B6" s="20" t="s">
        <v>5</v>
      </c>
      <c r="C6" s="33">
        <v>-1.2</v>
      </c>
      <c r="D6" s="384" t="s">
        <v>140</v>
      </c>
      <c r="E6" s="385"/>
      <c r="F6" s="385"/>
      <c r="G6" s="386"/>
      <c r="H6" s="36" t="s">
        <v>9</v>
      </c>
      <c r="I6" s="1"/>
      <c r="J6" s="1"/>
      <c r="K6" s="29"/>
      <c r="L6" s="30"/>
      <c r="M6" s="387" t="s">
        <v>49</v>
      </c>
      <c r="N6" s="388"/>
      <c r="O6" s="387" t="s">
        <v>50</v>
      </c>
      <c r="P6" s="388"/>
      <c r="Q6" s="1"/>
      <c r="R6" s="56" t="s">
        <v>105</v>
      </c>
      <c r="S6" s="57" t="s">
        <v>4</v>
      </c>
      <c r="T6" s="1"/>
      <c r="U6" s="96" t="s">
        <v>48</v>
      </c>
      <c r="V6" s="347"/>
      <c r="W6" s="370"/>
      <c r="X6" s="349"/>
      <c r="Y6" s="12"/>
    </row>
    <row r="7" spans="1:25" ht="17" thickBot="1">
      <c r="A7" s="3"/>
      <c r="B7" s="21" t="s">
        <v>6</v>
      </c>
      <c r="C7" s="34">
        <v>-1.2</v>
      </c>
      <c r="D7" s="389" t="s">
        <v>141</v>
      </c>
      <c r="E7" s="390"/>
      <c r="F7" s="390"/>
      <c r="G7" s="391"/>
      <c r="H7" s="37" t="s">
        <v>9</v>
      </c>
      <c r="I7" s="1"/>
      <c r="J7" s="1"/>
      <c r="K7" s="53"/>
      <c r="L7" s="48" t="s">
        <v>10</v>
      </c>
      <c r="M7" s="78">
        <f>G14+H14/60</f>
        <v>55.723333333333336</v>
      </c>
      <c r="N7" s="50"/>
      <c r="O7" s="78">
        <f>G22+H22/60</f>
        <v>74.08</v>
      </c>
      <c r="P7" s="50"/>
      <c r="Q7" s="1"/>
      <c r="R7" s="185">
        <v>1</v>
      </c>
      <c r="S7" s="186">
        <v>0.3</v>
      </c>
      <c r="T7" s="1"/>
      <c r="U7" s="97">
        <f>IF(C8="N",1,IF(C8="S",-1,"???"))*SIGN(d)</f>
        <v>1</v>
      </c>
      <c r="V7" s="348"/>
      <c r="W7" s="371"/>
      <c r="X7" s="350"/>
      <c r="Y7" s="12"/>
    </row>
    <row r="8" spans="1:25" ht="17" thickBot="1">
      <c r="A8" s="3"/>
      <c r="B8" s="35" t="s">
        <v>111</v>
      </c>
      <c r="C8" s="345" t="s">
        <v>149</v>
      </c>
      <c r="D8" s="398" t="s">
        <v>157</v>
      </c>
      <c r="E8" s="399"/>
      <c r="F8" s="400"/>
      <c r="G8" s="38">
        <v>2.2000000000000002</v>
      </c>
      <c r="H8" s="60" t="s">
        <v>147</v>
      </c>
      <c r="I8" s="1"/>
      <c r="J8" s="1"/>
      <c r="K8" s="54"/>
      <c r="L8" s="49" t="s">
        <v>11</v>
      </c>
      <c r="M8" s="79">
        <f>16-(55*TAN(RADIANS(90-M7))/60-55/1000*(TAN(RADIANS(90-M7)))^3/60+1.777*SQRT(G8))</f>
        <v>12.739812534831888</v>
      </c>
      <c r="N8" s="51"/>
      <c r="O8" s="79">
        <f>IF((16-(55*TAN(RADIANS(90-O7))/60-55/1000*(TAN(RADIANS(90-O7)))^3/60+1.777*SQRT(G8)))&lt;33,16-(55*TAN(RADIANS(90-O7))/60-55/1000*(TAN(RADIANS(90-O7)))^3/60+1.777*SQRT(G8)),0)</f>
        <v>13.102838985732964</v>
      </c>
      <c r="P8" s="51"/>
      <c r="Q8" s="1"/>
      <c r="R8" s="187">
        <f t="shared" ref="R8:R18" si="0">1+R7</f>
        <v>2</v>
      </c>
      <c r="S8" s="188">
        <v>0.2</v>
      </c>
      <c r="T8" s="1"/>
      <c r="U8" s="73" t="s">
        <v>22</v>
      </c>
      <c r="V8" s="74" t="s">
        <v>3</v>
      </c>
      <c r="W8" s="74" t="s">
        <v>44</v>
      </c>
      <c r="X8" s="351" t="s">
        <v>159</v>
      </c>
      <c r="Y8" s="12"/>
    </row>
    <row r="9" spans="1:25" ht="19">
      <c r="A9" s="3"/>
      <c r="B9" s="3"/>
      <c r="C9" s="67" t="str">
        <f>IF(OR(C8="N",C8="S")," ","N oder S eingeben!")</f>
        <v xml:space="preserve"> </v>
      </c>
      <c r="D9" s="7"/>
      <c r="E9" s="7"/>
      <c r="F9" s="7"/>
      <c r="G9" s="7"/>
      <c r="H9" s="3"/>
      <c r="I9" s="1"/>
      <c r="J9" s="1"/>
      <c r="K9" s="54"/>
      <c r="L9" s="49" t="s">
        <v>12</v>
      </c>
      <c r="M9" s="80">
        <f>IF(H6="U",DGET(R6:S18,2,S19:S20),IF(H6="O",-(32+DGET(R6:S18,2,S19:S20)),#N/A))</f>
        <v>-0.2</v>
      </c>
      <c r="N9" s="51"/>
      <c r="O9" s="80">
        <f>IF(H7="U",DGET(R6:S18,2,S19:S20),IF(H7="O",-(32+DGET(R6:S18,2,S19:S20))&gt;33,#N/A))</f>
        <v>-0.2</v>
      </c>
      <c r="P9" s="51"/>
      <c r="Q9" s="1"/>
      <c r="R9" s="187">
        <f t="shared" si="0"/>
        <v>3</v>
      </c>
      <c r="S9" s="188">
        <v>0.1</v>
      </c>
      <c r="T9" s="1"/>
      <c r="U9" s="312" t="s">
        <v>38</v>
      </c>
      <c r="V9" s="309">
        <f t="shared" ref="V9:V22" si="1">DEGREES(W9)</f>
        <v>45.340890214276094</v>
      </c>
      <c r="W9" s="352">
        <f>IF(C21="Zwischenzeit!","X",grt_-grt)</f>
        <v>0.79134782002439508</v>
      </c>
      <c r="X9" s="359" t="s">
        <v>169</v>
      </c>
      <c r="Y9" s="12"/>
    </row>
    <row r="10" spans="1:25">
      <c r="A10" s="3"/>
      <c r="B10" s="3"/>
      <c r="D10" s="3"/>
      <c r="E10" s="3"/>
      <c r="F10" s="3"/>
      <c r="G10" s="3"/>
      <c r="H10" s="3"/>
      <c r="I10" s="1"/>
      <c r="J10" s="1"/>
      <c r="K10" s="54"/>
      <c r="L10" s="49" t="s">
        <v>13</v>
      </c>
      <c r="M10" s="80">
        <f>C6</f>
        <v>-1.2</v>
      </c>
      <c r="N10" s="51"/>
      <c r="O10" s="80">
        <f>C7</f>
        <v>-1.2</v>
      </c>
      <c r="P10" s="51"/>
      <c r="Q10" s="1"/>
      <c r="R10" s="187">
        <f t="shared" si="0"/>
        <v>4</v>
      </c>
      <c r="S10" s="188">
        <v>0</v>
      </c>
      <c r="T10" s="1"/>
      <c r="U10" s="316" t="s">
        <v>26</v>
      </c>
      <c r="V10" s="309">
        <f t="shared" si="1"/>
        <v>30.081043652628729</v>
      </c>
      <c r="W10" s="353">
        <f>ATAN(TAN(d_)/COS(q))</f>
        <v>0.52501325417451272</v>
      </c>
      <c r="X10" s="360" t="s">
        <v>160</v>
      </c>
      <c r="Y10" s="12"/>
    </row>
    <row r="11" spans="1:25" ht="17">
      <c r="A11" s="3"/>
      <c r="B11" s="9" t="s">
        <v>97</v>
      </c>
      <c r="C11" s="9"/>
      <c r="D11" s="9"/>
      <c r="E11" s="7"/>
      <c r="F11" s="7"/>
      <c r="G11" s="10"/>
      <c r="H11" s="10"/>
      <c r="I11" s="1"/>
      <c r="J11" s="1"/>
      <c r="K11" s="54"/>
      <c r="L11" s="49" t="s">
        <v>15</v>
      </c>
      <c r="M11" s="81">
        <f>M7+(M8+M9+M10)/60</f>
        <v>55.912330208913865</v>
      </c>
      <c r="N11" s="83"/>
      <c r="O11" s="81">
        <f>O7+(O8+O9+O10)/60</f>
        <v>74.275047316428882</v>
      </c>
      <c r="P11" s="83"/>
      <c r="Q11" s="1"/>
      <c r="R11" s="187">
        <f t="shared" si="0"/>
        <v>5</v>
      </c>
      <c r="S11" s="188">
        <v>-0.2</v>
      </c>
      <c r="T11" s="1"/>
      <c r="U11" s="70" t="s">
        <v>36</v>
      </c>
      <c r="V11" s="309">
        <f t="shared" si="1"/>
        <v>81.030694290038397</v>
      </c>
      <c r="W11" s="354">
        <f>ATAN(COS(F)*TAN(q)/SIN(F-d))+IF(OR(IF(TG&gt;0,1,0)+ot_-ot&lt;0.5,IF(TG&gt;0,1,0)+ot_-ot+0.05&gt;1),0,PI())</f>
        <v>1.4142524105381391</v>
      </c>
      <c r="X11" s="361" t="s">
        <v>151</v>
      </c>
      <c r="Y11" s="12"/>
    </row>
    <row r="12" spans="1:25">
      <c r="A12" s="3"/>
      <c r="B12" s="39" t="s">
        <v>0</v>
      </c>
      <c r="C12" s="40"/>
      <c r="D12" s="17"/>
      <c r="E12" s="17"/>
      <c r="F12" s="41" t="s">
        <v>156</v>
      </c>
      <c r="G12" s="392">
        <v>45444</v>
      </c>
      <c r="H12" s="393"/>
      <c r="I12" s="1"/>
      <c r="J12" s="1"/>
      <c r="K12" s="54"/>
      <c r="L12" s="49" t="s">
        <v>16</v>
      </c>
      <c r="M12" s="82">
        <f>INT(M11)</f>
        <v>55</v>
      </c>
      <c r="N12" s="52">
        <f>(M11-M12)*60</f>
        <v>54.739812534831884</v>
      </c>
      <c r="O12" s="82">
        <f>INT(O11)</f>
        <v>74</v>
      </c>
      <c r="P12" s="52">
        <f>(O11-O12)*60</f>
        <v>16.502838985732922</v>
      </c>
      <c r="Q12" s="1"/>
      <c r="R12" s="187">
        <f t="shared" si="0"/>
        <v>6</v>
      </c>
      <c r="S12" s="188">
        <v>-0.2</v>
      </c>
      <c r="T12" s="1"/>
      <c r="U12" s="70" t="s">
        <v>27</v>
      </c>
      <c r="V12" s="309">
        <f t="shared" si="1"/>
        <v>22.440599197653654</v>
      </c>
      <c r="W12" s="354">
        <f>P*ACOS((COS(V)*TAN(h)/TAN(F-d))*(SIN(h_)*SIN(F)/SIN(h)/SIN(d_)/COS(F-d)-1))</f>
        <v>0.39166234211945405</v>
      </c>
      <c r="X12" s="361" t="s">
        <v>161</v>
      </c>
      <c r="Y12" s="12"/>
    </row>
    <row r="13" spans="1:25" ht="17" thickBot="1">
      <c r="A13" s="3"/>
      <c r="B13" s="39" t="s">
        <v>1</v>
      </c>
      <c r="C13" s="40"/>
      <c r="D13" s="17"/>
      <c r="E13" s="17"/>
      <c r="F13" s="41" t="str">
        <f>IF(ISNUMBER(G13)=TRUE,"hh:mm:ss: "," Syntax !!! ")</f>
        <v xml:space="preserve">hh:mm:ss: </v>
      </c>
      <c r="G13" s="406">
        <v>0.34319444444444441</v>
      </c>
      <c r="H13" s="407"/>
      <c r="I13" s="1"/>
      <c r="J13" s="1"/>
      <c r="K13" s="55"/>
      <c r="L13" s="47" t="s">
        <v>14</v>
      </c>
      <c r="M13" s="99">
        <f>RADIANS(M11)</f>
        <v>0.97585425460783592</v>
      </c>
      <c r="N13" s="84" t="s">
        <v>7</v>
      </c>
      <c r="O13" s="99">
        <f>IF(O8=0,1/0,RADIANS(O11))</f>
        <v>1.2963441277462626</v>
      </c>
      <c r="P13" s="84" t="s">
        <v>37</v>
      </c>
      <c r="Q13" s="1"/>
      <c r="R13" s="187">
        <f t="shared" si="0"/>
        <v>7</v>
      </c>
      <c r="S13" s="188">
        <v>-0.2</v>
      </c>
      <c r="T13" s="1"/>
      <c r="U13" s="70" t="s">
        <v>28</v>
      </c>
      <c r="V13" s="309">
        <f t="shared" si="1"/>
        <v>70.572947077849463</v>
      </c>
      <c r="W13" s="353">
        <f>ATAN(TAN(h)/COS(V-W))</f>
        <v>1.2317302893441842</v>
      </c>
      <c r="X13" s="360" t="s">
        <v>152</v>
      </c>
      <c r="Y13" s="12"/>
    </row>
    <row r="14" spans="1:25">
      <c r="A14" s="3"/>
      <c r="B14" s="39" t="s">
        <v>2</v>
      </c>
      <c r="C14" s="273"/>
      <c r="D14" s="273"/>
      <c r="E14" s="273"/>
      <c r="F14" s="41" t="str">
        <f>IF(H6="U","Unterrand: ",IF(H6="O","Oberrand: "," "))</f>
        <v xml:space="preserve">Unterrand: </v>
      </c>
      <c r="G14" s="18">
        <v>55</v>
      </c>
      <c r="H14" s="22">
        <v>43.4</v>
      </c>
      <c r="I14" s="1"/>
      <c r="J14" s="1"/>
      <c r="K14" s="1"/>
      <c r="L14" s="1"/>
      <c r="M14" s="1"/>
      <c r="N14" s="1"/>
      <c r="O14" s="1"/>
      <c r="P14" s="1"/>
      <c r="Q14" s="1"/>
      <c r="R14" s="187">
        <f t="shared" si="0"/>
        <v>8</v>
      </c>
      <c r="S14" s="188">
        <v>-0.2</v>
      </c>
      <c r="T14" s="1"/>
      <c r="U14" s="316" t="s">
        <v>31</v>
      </c>
      <c r="V14" s="309">
        <f t="shared" si="1"/>
        <v>36.053701481842346</v>
      </c>
      <c r="W14" s="353">
        <f>ATAN(COS(G)*TAN(V-W)/SIN(G-d))+IF((G-d)*P&gt;0,0,PI())</f>
        <v>0.62925579838930756</v>
      </c>
      <c r="X14" s="360" t="s">
        <v>153</v>
      </c>
      <c r="Y14" s="12"/>
    </row>
    <row r="15" spans="1:25">
      <c r="A15" s="3"/>
      <c r="B15" s="11"/>
      <c r="C15" s="11"/>
      <c r="D15" s="11"/>
      <c r="E15" s="3"/>
      <c r="F15" s="19"/>
      <c r="G15" s="3"/>
      <c r="H15" s="19"/>
      <c r="I15" s="1"/>
      <c r="J15" s="1"/>
      <c r="K15" s="1"/>
      <c r="L15" s="1"/>
      <c r="M15" s="1"/>
      <c r="N15" s="26"/>
      <c r="O15" s="25"/>
      <c r="P15" s="28"/>
      <c r="Q15" s="1"/>
      <c r="R15" s="187">
        <f t="shared" si="0"/>
        <v>9</v>
      </c>
      <c r="S15" s="188">
        <v>-0.1</v>
      </c>
      <c r="T15" s="1"/>
      <c r="U15" s="95" t="s">
        <v>29</v>
      </c>
      <c r="V15" s="310">
        <f t="shared" si="1"/>
        <v>35.635724938084017</v>
      </c>
      <c r="W15" s="355">
        <f>ATAN(COS(tau)*_xlfn.COT(G-d))</f>
        <v>0.6219607315046185</v>
      </c>
      <c r="X15" s="362" t="s">
        <v>64</v>
      </c>
      <c r="Y15" s="12"/>
    </row>
    <row r="16" spans="1:25" ht="19" thickBot="1">
      <c r="A16" s="3"/>
      <c r="B16" s="9" t="s">
        <v>98</v>
      </c>
      <c r="C16" s="24"/>
      <c r="D16" s="23"/>
      <c r="E16" s="10"/>
      <c r="F16" s="10"/>
      <c r="G16" s="10"/>
      <c r="H16" s="7"/>
      <c r="I16" s="1"/>
      <c r="J16" s="1"/>
      <c r="K16" s="91" t="s">
        <v>102</v>
      </c>
      <c r="L16" s="1"/>
      <c r="M16" s="1"/>
      <c r="N16" s="13" t="s">
        <v>144</v>
      </c>
      <c r="O16" s="1"/>
      <c r="P16" s="1"/>
      <c r="Q16" s="1"/>
      <c r="R16" s="187">
        <f t="shared" si="0"/>
        <v>10</v>
      </c>
      <c r="S16" s="188">
        <v>0.1</v>
      </c>
      <c r="T16" s="1"/>
      <c r="U16" s="95" t="s">
        <v>39</v>
      </c>
      <c r="V16" s="310">
        <f t="shared" si="1"/>
        <v>340.12528122748307</v>
      </c>
      <c r="W16" s="355">
        <f>grt+tau</f>
        <v>5.9363060266912395</v>
      </c>
      <c r="X16" s="362" t="s">
        <v>162</v>
      </c>
      <c r="Y16" s="12"/>
    </row>
    <row r="17" spans="1:25" ht="17" thickBot="1">
      <c r="A17" s="3"/>
      <c r="B17" s="39" t="s">
        <v>32</v>
      </c>
      <c r="C17" s="206">
        <v>18</v>
      </c>
      <c r="D17" s="205" t="s">
        <v>158</v>
      </c>
      <c r="E17" s="396" t="s">
        <v>33</v>
      </c>
      <c r="F17" s="396"/>
      <c r="G17" s="397"/>
      <c r="H17" s="59">
        <v>260</v>
      </c>
      <c r="I17" s="8"/>
      <c r="J17" s="8"/>
      <c r="K17" s="88" t="s">
        <v>159</v>
      </c>
      <c r="L17" s="372" t="s">
        <v>173</v>
      </c>
      <c r="M17" s="1"/>
      <c r="N17" s="183" t="s">
        <v>45</v>
      </c>
      <c r="O17" s="89" t="s">
        <v>46</v>
      </c>
      <c r="P17" s="90" t="s">
        <v>47</v>
      </c>
      <c r="Q17" s="1"/>
      <c r="R17" s="187">
        <f t="shared" si="0"/>
        <v>11</v>
      </c>
      <c r="S17" s="188">
        <v>0.2</v>
      </c>
      <c r="T17" s="1"/>
      <c r="U17" s="312" t="s">
        <v>23</v>
      </c>
      <c r="V17" s="313">
        <f t="shared" si="1"/>
        <v>323.94629851815768</v>
      </c>
      <c r="W17" s="352">
        <f>IF(grt-_l&lt;0,grt-_l+ 2*PI(),IF(grt-_l&gt;2*PI(),grt-_l-2*PI(),grt-_l))</f>
        <v>5.653929508790279</v>
      </c>
      <c r="X17" s="359" t="s">
        <v>170</v>
      </c>
      <c r="Y17" s="12"/>
    </row>
    <row r="18" spans="1:25" ht="17" thickBot="1">
      <c r="A18" s="3"/>
      <c r="B18" s="7"/>
      <c r="C18" s="7"/>
      <c r="D18" s="7"/>
      <c r="E18" s="7"/>
      <c r="F18" s="7"/>
      <c r="G18" s="7"/>
      <c r="H18" s="7"/>
      <c r="I18" s="1"/>
      <c r="J18" s="1"/>
      <c r="K18" s="179" t="s">
        <v>88</v>
      </c>
      <c r="L18" s="301">
        <f>280.4656</f>
        <v>280.46559999999999</v>
      </c>
      <c r="M18" s="1"/>
      <c r="N18" s="182" t="s">
        <v>79</v>
      </c>
      <c r="O18" s="163">
        <f>_xlfn.DAYS(dat,ref)+ot-0.5</f>
        <v>8917.8431944444437</v>
      </c>
      <c r="P18" s="164">
        <f>_xlfn.DAYS(dat_,ref)+ot_-0.5</f>
        <v>8917.9691550925927</v>
      </c>
      <c r="Q18" s="1"/>
      <c r="R18" s="189">
        <f t="shared" si="0"/>
        <v>12</v>
      </c>
      <c r="S18" s="190">
        <v>0.3</v>
      </c>
      <c r="T18" s="1"/>
      <c r="U18" s="316" t="s">
        <v>30</v>
      </c>
      <c r="V18" s="309">
        <f t="shared" si="1"/>
        <v>103.4185857356303</v>
      </c>
      <c r="W18" s="353">
        <f>IF(LHA&gt;PI(),ACOS((SIN(d)-SIN(h)*SIN(j))/(COS(h)*COS(j))),(2*PI()-ACOS((SIN(d)-SIN(h)*SIN(j))/(COS(h)*COS(j)))))</f>
        <v>1.8049948288427908</v>
      </c>
      <c r="X18" s="360" t="s">
        <v>163</v>
      </c>
      <c r="Y18" s="12"/>
    </row>
    <row r="19" spans="1:25" ht="18" thickBot="1">
      <c r="A19" s="3"/>
      <c r="B19" s="9" t="s">
        <v>99</v>
      </c>
      <c r="C19" s="15"/>
      <c r="D19" s="15"/>
      <c r="E19" s="16"/>
      <c r="F19" s="16"/>
      <c r="G19" s="308"/>
      <c r="H19" s="1"/>
      <c r="I19" s="1"/>
      <c r="J19" s="1"/>
      <c r="K19" s="180" t="s">
        <v>89</v>
      </c>
      <c r="L19" s="302">
        <f>282.94</f>
        <v>282.94</v>
      </c>
      <c r="M19" s="1"/>
      <c r="N19" s="165" t="s">
        <v>78</v>
      </c>
      <c r="O19" s="166">
        <f>RADIANS(_A1+_B1*_T1)</f>
        <v>158.30684349519225</v>
      </c>
      <c r="P19" s="167">
        <f>RADIANS(_A1+_B1*_T2)</f>
        <v>158.30901036993464</v>
      </c>
      <c r="Q19" s="1"/>
      <c r="R19" s="394" t="s">
        <v>104</v>
      </c>
      <c r="S19" s="71" t="s">
        <v>105</v>
      </c>
      <c r="T19" s="1"/>
      <c r="U19" s="314" t="s">
        <v>40</v>
      </c>
      <c r="V19" s="310">
        <f t="shared" si="1"/>
        <v>55.637042484015005</v>
      </c>
      <c r="W19" s="356">
        <f>RADIANS(dmg/60)*COS(Az-RADIANS(cmg))+h</f>
        <v>0.97104957741802644</v>
      </c>
      <c r="X19" s="363" t="s">
        <v>164</v>
      </c>
      <c r="Y19" s="12"/>
    </row>
    <row r="20" spans="1:25" ht="17" thickBot="1">
      <c r="A20" s="3"/>
      <c r="B20" s="39" t="s">
        <v>0</v>
      </c>
      <c r="C20" s="396" t="s">
        <v>174</v>
      </c>
      <c r="D20" s="396"/>
      <c r="E20" s="397"/>
      <c r="F20" s="340">
        <f>dat_-dat</f>
        <v>0</v>
      </c>
      <c r="G20" s="392">
        <v>45444</v>
      </c>
      <c r="H20" s="393"/>
      <c r="I20" s="1"/>
      <c r="J20" s="1"/>
      <c r="K20" s="180" t="s">
        <v>90</v>
      </c>
      <c r="L20" s="302">
        <f>0.016709</f>
        <v>1.6709000000000002E-2</v>
      </c>
      <c r="M20" s="1"/>
      <c r="N20" s="165" t="s">
        <v>81</v>
      </c>
      <c r="O20" s="166">
        <f>RADIANS(_A2+_B2*_T1)</f>
        <v>4.9455606946140023</v>
      </c>
      <c r="P20" s="167">
        <f>RADIANS(_A2+_B2*_T2)</f>
        <v>4.9455607980920986</v>
      </c>
      <c r="Q20" s="1"/>
      <c r="R20" s="395"/>
      <c r="S20" s="72">
        <f>MONTH(G12)</f>
        <v>6</v>
      </c>
      <c r="T20" s="1"/>
      <c r="U20" s="317" t="s">
        <v>41</v>
      </c>
      <c r="V20" s="313">
        <f t="shared" si="1"/>
        <v>22.613555186650398</v>
      </c>
      <c r="W20" s="357">
        <f>P*ACOS((COS(V)*TAN(hs)/TAN(F-d))*(SIN(h_)*SIN(F)/SIN(hs)/SIN(d_)/COS(F-d)-1))</f>
        <v>0.39468099358849029</v>
      </c>
      <c r="X20" s="364" t="s">
        <v>165</v>
      </c>
      <c r="Y20" s="12"/>
    </row>
    <row r="21" spans="1:25">
      <c r="A21" s="3"/>
      <c r="B21" s="39" t="s">
        <v>1</v>
      </c>
      <c r="C21" s="403" t="str">
        <f>IF(OR((dat_-dat)+ot_-ot&lt;0,(dat_-dat)+ot_-ot&gt;5),"Zwischenzeit!"," ")</f>
        <v xml:space="preserve"> </v>
      </c>
      <c r="D21" s="403"/>
      <c r="E21" s="401" t="str">
        <f>IF(ISNUMBER(G21)=TRUE,"hh:mm:ss: "," Syntax !!! ")</f>
        <v xml:space="preserve">hh:mm:ss: </v>
      </c>
      <c r="F21" s="402"/>
      <c r="G21" s="404">
        <v>0.46915509259259264</v>
      </c>
      <c r="H21" s="405"/>
      <c r="I21" s="1"/>
      <c r="J21" s="1"/>
      <c r="K21" s="180" t="s">
        <v>91</v>
      </c>
      <c r="L21" s="302">
        <f>23.4391667</f>
        <v>23.439166700000001</v>
      </c>
      <c r="M21" s="1"/>
      <c r="N21" s="165" t="s">
        <v>82</v>
      </c>
      <c r="O21" s="166">
        <f>O19-O20</f>
        <v>153.36128280057824</v>
      </c>
      <c r="P21" s="167">
        <f>(P19-P20)</f>
        <v>153.36344957184255</v>
      </c>
      <c r="Q21" s="1"/>
      <c r="R21" s="1"/>
      <c r="S21" s="1"/>
      <c r="T21" s="1"/>
      <c r="U21" s="70" t="s">
        <v>42</v>
      </c>
      <c r="V21" s="309">
        <f t="shared" si="1"/>
        <v>70.29709480115261</v>
      </c>
      <c r="W21" s="353">
        <f>ATAN(TAN(hs)/COS(V-Ws))</f>
        <v>1.2269157588667015</v>
      </c>
      <c r="X21" s="360" t="s">
        <v>154</v>
      </c>
      <c r="Y21" s="12"/>
    </row>
    <row r="22" spans="1:25">
      <c r="A22" s="3"/>
      <c r="B22" s="39" t="s">
        <v>2</v>
      </c>
      <c r="C22" s="273"/>
      <c r="D22" s="273"/>
      <c r="E22" s="273"/>
      <c r="F22" s="41" t="str">
        <f>IF(H7="U","Unterrand: ",IF(H7="O","Oberrand: "," "))</f>
        <v xml:space="preserve">Unterrand: </v>
      </c>
      <c r="G22" s="18">
        <v>74</v>
      </c>
      <c r="H22" s="22">
        <v>4.8</v>
      </c>
      <c r="I22" s="1"/>
      <c r="J22" s="1"/>
      <c r="K22" s="181"/>
      <c r="L22" s="303"/>
      <c r="M22" s="1"/>
      <c r="N22" s="165" t="s">
        <v>83</v>
      </c>
      <c r="O22" s="166">
        <f>_A3-_B3*_T1</f>
        <v>1.669874539591604E-2</v>
      </c>
      <c r="P22" s="167">
        <f>_A3-_B3*_T2</f>
        <v>1.6698745251074228E-2</v>
      </c>
      <c r="Q22" s="1"/>
      <c r="R22" s="93"/>
      <c r="S22" s="3"/>
      <c r="T22" s="1"/>
      <c r="U22" s="92" t="s">
        <v>66</v>
      </c>
      <c r="V22" s="309">
        <f t="shared" si="1"/>
        <v>36.355751028429189</v>
      </c>
      <c r="W22" s="353">
        <f>ATAN(COS(Gs)*TAN(V-Ws)/SIN(Gs-d))+IF((Gs-d)*P&gt;0,0,PI())</f>
        <v>0.63452755748140388</v>
      </c>
      <c r="X22" s="360" t="s">
        <v>155</v>
      </c>
      <c r="Y22" s="12"/>
    </row>
    <row r="23" spans="1:25">
      <c r="A23" s="3"/>
      <c r="B23" s="7"/>
      <c r="C23" s="3"/>
      <c r="D23" s="3"/>
      <c r="E23" s="3"/>
      <c r="F23" s="19"/>
      <c r="G23" s="346"/>
      <c r="I23" s="1"/>
      <c r="J23" s="1"/>
      <c r="K23" s="180" t="s">
        <v>92</v>
      </c>
      <c r="L23" s="304">
        <v>0.98564733744010957</v>
      </c>
      <c r="M23" s="1"/>
      <c r="N23" s="165" t="s">
        <v>108</v>
      </c>
      <c r="O23" s="166">
        <f>(2*O22-O22^3/4)*SIN(O21)+5*O22^2/4*SIN(2*O21)+13*O22^3/12*SIN(3*O21)</f>
        <v>1.7897633056724583E-2</v>
      </c>
      <c r="P23" s="167">
        <f>(2*P22-P22^3/4)*SIN(P21)+5*P22^2/4*SIN(2*P21)+13*P22^3/12*SIN(3*P21)</f>
        <v>1.7837553909026808E-2</v>
      </c>
      <c r="Q23" s="1"/>
      <c r="R23" s="94"/>
      <c r="S23" s="1"/>
      <c r="T23" s="1"/>
      <c r="U23" s="92" t="s">
        <v>67</v>
      </c>
      <c r="V23" s="309">
        <f>IF(var="Error",#N/A,DEGREES(js))</f>
        <v>35.794161516715647</v>
      </c>
      <c r="W23" s="353">
        <f>ATAN(COS(taus)*_xlfn.COT(Gs-d))</f>
        <v>0.62472597145733533</v>
      </c>
      <c r="X23" s="360" t="s">
        <v>166</v>
      </c>
      <c r="Y23" s="12"/>
    </row>
    <row r="24" spans="1:25" ht="17">
      <c r="A24" s="3"/>
      <c r="B24" s="9" t="s">
        <v>100</v>
      </c>
      <c r="C24" s="1"/>
      <c r="D24" s="1"/>
      <c r="E24" s="1"/>
      <c r="F24" s="1"/>
      <c r="G24" s="1"/>
      <c r="H24" s="1"/>
      <c r="I24" s="1"/>
      <c r="J24" s="1"/>
      <c r="K24" s="180" t="s">
        <v>93</v>
      </c>
      <c r="L24" s="304">
        <v>4.706913073237508E-5</v>
      </c>
      <c r="M24" s="1"/>
      <c r="N24" s="168" t="s">
        <v>80</v>
      </c>
      <c r="O24" s="166">
        <f>O19+O23</f>
        <v>158.32474112824897</v>
      </c>
      <c r="P24" s="167">
        <f>P19+P23</f>
        <v>158.32684792384367</v>
      </c>
      <c r="Q24" s="1"/>
      <c r="R24" s="94"/>
      <c r="S24" s="1"/>
      <c r="T24" s="1"/>
      <c r="U24" s="318" t="s">
        <v>68</v>
      </c>
      <c r="V24" s="309">
        <f>DEGREES(W24)</f>
        <v>340.4273307740699</v>
      </c>
      <c r="W24" s="353">
        <f>grt+taus</f>
        <v>5.9415777857833358</v>
      </c>
      <c r="X24" s="360" t="s">
        <v>167</v>
      </c>
      <c r="Y24" s="12"/>
    </row>
    <row r="25" spans="1:25" ht="17" thickBot="1">
      <c r="A25" s="3"/>
      <c r="B25" s="69" t="s">
        <v>52</v>
      </c>
      <c r="C25" s="329">
        <f>IFERROR(INT(ABS(lat))," ")</f>
        <v>35</v>
      </c>
      <c r="D25" s="330">
        <f>IFERROR(ROUNDDOWN((ABS(lat)-C25),6)*60," ")</f>
        <v>47.649659999999997</v>
      </c>
      <c r="E25" s="331" t="str">
        <f>IFERROR(IF(lat&lt;0,"S","N")," ")</f>
        <v>N</v>
      </c>
      <c r="F25" s="332">
        <f>IFERROR(INT(ABS(lon))," ")</f>
        <v>19</v>
      </c>
      <c r="G25" s="333">
        <f>IFERROR(ROUNDDOWN((ABS(lon)-F25),6)*60," ")</f>
        <v>34.360140000000001</v>
      </c>
      <c r="H25" s="334" t="str">
        <f>IFERROR(IF(lon&lt;0,"W","E")," ")</f>
        <v>E</v>
      </c>
      <c r="I25" s="1"/>
      <c r="J25" s="1"/>
      <c r="K25" s="180" t="s">
        <v>94</v>
      </c>
      <c r="L25" s="304">
        <v>1.1498973305954826E-9</v>
      </c>
      <c r="M25" s="1"/>
      <c r="N25" s="169" t="s">
        <v>84</v>
      </c>
      <c r="O25" s="170">
        <f>RADIANS(_A4-_B4*_T1)</f>
        <v>0.40903521164414097</v>
      </c>
      <c r="P25" s="171">
        <f>RADIANS(_A4-_B4*_T2)</f>
        <v>0.40903521086134076</v>
      </c>
      <c r="Q25" s="1"/>
      <c r="R25" s="94"/>
      <c r="S25" s="1"/>
      <c r="T25" s="1"/>
      <c r="U25" s="77" t="s">
        <v>43</v>
      </c>
      <c r="V25" s="311">
        <f>IF(var="Error",#N/A,DEGREES(ls))</f>
        <v>19.572669225930113</v>
      </c>
      <c r="W25" s="358">
        <f>IF(_ls&gt;3*PI(),2*PI(),0)+IF(_ls&lt;PI(),-_ls,2*PI()-_ls)</f>
        <v>0.34160752139625039</v>
      </c>
      <c r="X25" s="365" t="s">
        <v>168</v>
      </c>
      <c r="Y25" s="12"/>
    </row>
    <row r="26" spans="1:25" ht="17" thickBot="1">
      <c r="A26" s="3"/>
      <c r="B26" s="42" t="s">
        <v>8</v>
      </c>
      <c r="C26" s="375">
        <f>IFERROR(ot+(360-LHA°)/15/24," ")</f>
        <v>0.44334361522733978</v>
      </c>
      <c r="D26" s="375"/>
      <c r="E26" s="68" t="s">
        <v>25</v>
      </c>
      <c r="F26" s="376"/>
      <c r="G26" s="376"/>
      <c r="H26" s="271"/>
      <c r="I26" s="1"/>
      <c r="J26" s="1"/>
      <c r="K26" s="180" t="s">
        <v>95</v>
      </c>
      <c r="L26" s="304">
        <v>3.5607270514868054E-7</v>
      </c>
      <c r="M26" s="1"/>
      <c r="N26" s="172" t="s">
        <v>85</v>
      </c>
      <c r="O26" s="173">
        <f>ATAN(  (TAN(O19)-TAN(O24)*COS(O25))  /(1+TAN(O19)*TAN(O24)*COS(O25)))</f>
        <v>9.10328387314553E-3</v>
      </c>
      <c r="P26" s="174">
        <f>ATAN(  (TAN(P19)-TAN(P24)*COS(P25))  /(1+TAN(P19)*TAN(P24)*COS(P25)))</f>
        <v>9.0170101702778446E-3</v>
      </c>
      <c r="Q26" s="1"/>
      <c r="R26" s="94"/>
      <c r="S26" s="1"/>
      <c r="T26" s="1"/>
      <c r="U26" s="1"/>
      <c r="V26" s="1"/>
      <c r="W26" s="319"/>
      <c r="X26" s="12"/>
      <c r="Y26" s="12"/>
    </row>
    <row r="27" spans="1:25" ht="19" thickBot="1">
      <c r="A27" s="3"/>
      <c r="B27" s="7"/>
      <c r="C27" s="3"/>
      <c r="D27" s="3"/>
      <c r="E27" s="3"/>
      <c r="F27" s="3"/>
      <c r="G27" s="3"/>
      <c r="H27" s="3"/>
      <c r="I27" s="1"/>
      <c r="J27" s="1"/>
      <c r="K27" s="87"/>
      <c r="L27" s="305"/>
      <c r="M27" s="1"/>
      <c r="N27" s="202" t="s">
        <v>109</v>
      </c>
      <c r="O27" s="203">
        <f>IF((ot*24+12)&gt;24,O26+RADIANS(15)*(ot*24-12),O26+RADIANS(15)*(ot*24+12))</f>
        <v>5.3070502283019323</v>
      </c>
      <c r="P27" s="269">
        <f>IF((ot_*24+12)&gt;24,P26+RADIANS(15)*(ot_*24-12),P26+RADIANS(15)*(ot_*24+12))</f>
        <v>6.0983980483263274</v>
      </c>
      <c r="Q27" s="1"/>
      <c r="R27" s="94"/>
      <c r="S27" s="1"/>
      <c r="T27" s="1"/>
      <c r="U27" s="13" t="s">
        <v>51</v>
      </c>
      <c r="V27" s="320"/>
      <c r="W27" s="321"/>
      <c r="X27" s="12"/>
      <c r="Y27" s="12"/>
    </row>
    <row r="28" spans="1:25" ht="18" thickBot="1">
      <c r="A28" s="1"/>
      <c r="B28" s="192" t="s">
        <v>101</v>
      </c>
      <c r="C28" s="3"/>
      <c r="D28" s="3"/>
      <c r="E28" s="3"/>
      <c r="F28" s="3"/>
      <c r="G28" s="3"/>
      <c r="H28" s="3"/>
      <c r="I28" s="1"/>
      <c r="J28" s="1"/>
      <c r="K28" s="184" t="s">
        <v>110</v>
      </c>
      <c r="L28" s="306">
        <v>36526</v>
      </c>
      <c r="M28" s="1"/>
      <c r="N28" s="175" t="s">
        <v>106</v>
      </c>
      <c r="O28" s="201">
        <f>IF(O27&lt;0,O27+2*PI(),IF(O27&gt;2*PI(),O27-2*PI(),O27))</f>
        <v>5.3070502283019323</v>
      </c>
      <c r="P28" s="201">
        <f>IF(P27&lt;0,P27+2*PI(),IF(P27&gt;2*PI(),P27-2*PI(),P27))</f>
        <v>6.0983980483263274</v>
      </c>
      <c r="Q28" s="1"/>
      <c r="R28" s="94"/>
      <c r="S28" s="1"/>
      <c r="T28" s="1"/>
      <c r="U28" s="322" t="s">
        <v>34</v>
      </c>
      <c r="V28" s="323">
        <f>DEGREES(W28)</f>
        <v>8.9851391858469256</v>
      </c>
      <c r="W28" s="366">
        <f>IF(grt_+ls&lt;0,grt_+ls+ 2*PI(),IF(grt_+ls&gt;2*PI(),grt_+ls-2*PI(),grt_+ls))</f>
        <v>0.15682026254299153</v>
      </c>
      <c r="X28" s="368" t="s">
        <v>171</v>
      </c>
      <c r="Y28" s="12"/>
    </row>
    <row r="29" spans="1:25" ht="17" thickBot="1">
      <c r="A29" s="3"/>
      <c r="B29" s="31" t="s">
        <v>17</v>
      </c>
      <c r="C29" s="377">
        <f>G13</f>
        <v>0.34319444444444441</v>
      </c>
      <c r="D29" s="378"/>
      <c r="E29" s="377">
        <f>ot_</f>
        <v>0.46915509259259264</v>
      </c>
      <c r="F29" s="379"/>
      <c r="G29" s="378"/>
      <c r="H29" s="5"/>
      <c r="I29" s="1"/>
      <c r="J29" s="1"/>
      <c r="K29" s="85"/>
      <c r="L29" s="86"/>
      <c r="M29" s="1"/>
      <c r="N29" s="176" t="s">
        <v>86</v>
      </c>
      <c r="O29" s="177">
        <f>ASIN(SIN(O24)*SIN(O25))</f>
        <v>0.38635681923869536</v>
      </c>
      <c r="P29" s="178">
        <f>ASIN(SIN(P24)*SIN(P25))</f>
        <v>0.38664537003143434</v>
      </c>
      <c r="Q29" s="1"/>
      <c r="R29" s="94"/>
      <c r="S29" s="1"/>
      <c r="T29" s="1"/>
      <c r="U29" s="324" t="s">
        <v>35</v>
      </c>
      <c r="V29" s="325">
        <f>DEGREES(W29)</f>
        <v>212.25726182494466</v>
      </c>
      <c r="W29" s="367">
        <f>IF(LHA_&gt;PI(),ACOS((SIN(d_)-SIN(js)*SIN(h_))/COS(js)/COS(h_)),(2*PI()-ACOS((SIN(d_)-SIN(js)*SIN(h_))/COS(js)/COS(h_))))</f>
        <v>3.704588080112952</v>
      </c>
      <c r="X29" s="369" t="s">
        <v>172</v>
      </c>
      <c r="Y29" s="12"/>
    </row>
    <row r="30" spans="1:25">
      <c r="A30" s="3"/>
      <c r="B30" s="63" t="s">
        <v>18</v>
      </c>
      <c r="C30" s="32">
        <f>INT(O30)</f>
        <v>304</v>
      </c>
      <c r="D30" s="197">
        <f>(O30-C30)*60</f>
        <v>4.2947847384414217</v>
      </c>
      <c r="E30" s="380">
        <f>INT(P30)</f>
        <v>349</v>
      </c>
      <c r="F30" s="381"/>
      <c r="G30" s="193">
        <f>(P30-E30)*60</f>
        <v>24.748197595007468</v>
      </c>
      <c r="H30" s="3"/>
      <c r="M30" s="1"/>
      <c r="N30" s="175" t="s">
        <v>107</v>
      </c>
      <c r="O30" s="191">
        <f>DEGREES(O28)</f>
        <v>304.07157974564069</v>
      </c>
      <c r="P30" s="191">
        <f>DEGREES(P28)</f>
        <v>349.41246995991679</v>
      </c>
      <c r="Q30" s="1"/>
      <c r="R30" s="94"/>
      <c r="S30" s="1"/>
      <c r="T30" s="1"/>
      <c r="X30" s="12"/>
      <c r="Y30" s="12"/>
    </row>
    <row r="31" spans="1:25" ht="17" thickBot="1">
      <c r="A31" s="3"/>
      <c r="B31" s="64" t="s">
        <v>19</v>
      </c>
      <c r="C31" s="272">
        <f>ROUNDDOWN(O31,0)</f>
        <v>22</v>
      </c>
      <c r="D31" s="198">
        <f>(ABS(O31)-ABS(C31))*60</f>
        <v>8.1969077085654618</v>
      </c>
      <c r="E31" s="382">
        <f>ROUNDDOWN(P31,0)</f>
        <v>22</v>
      </c>
      <c r="F31" s="383"/>
      <c r="G31" s="194">
        <f>(ABS(P31)-ABS(E31))*60</f>
        <v>9.188872264511474</v>
      </c>
      <c r="H31" s="3"/>
      <c r="M31" s="1"/>
      <c r="N31" s="176" t="s">
        <v>87</v>
      </c>
      <c r="O31" s="342">
        <f>DEGREES(O29)</f>
        <v>22.136615128476091</v>
      </c>
      <c r="P31" s="343">
        <f>DEGREES(P29)</f>
        <v>22.153147871075191</v>
      </c>
      <c r="Q31" s="1"/>
      <c r="R31" s="94"/>
      <c r="S31" s="1"/>
      <c r="T31" s="338"/>
      <c r="Y31" s="12"/>
    </row>
    <row r="32" spans="1:25">
      <c r="A32" s="3"/>
      <c r="B32" s="65" t="s">
        <v>20</v>
      </c>
      <c r="C32" s="272">
        <f>IFERROR(ROUNDDOWN(V17,0)," ")</f>
        <v>323</v>
      </c>
      <c r="D32" s="198">
        <f>IFERROR((V17-C32)*60," ")</f>
        <v>56.777911089460531</v>
      </c>
      <c r="E32" s="382">
        <f>IFERROR(ROUNDDOWN(V28,0)," ")</f>
        <v>8</v>
      </c>
      <c r="F32" s="383"/>
      <c r="G32" s="195">
        <f>IFERROR((V28-E32)*60," ")</f>
        <v>59.108351150815537</v>
      </c>
      <c r="H32" s="5"/>
      <c r="T32" s="338"/>
      <c r="Y32" s="12"/>
    </row>
    <row r="33" spans="1:34">
      <c r="A33" s="3"/>
      <c r="B33" s="64" t="s">
        <v>24</v>
      </c>
      <c r="C33" s="272">
        <f>IFERROR(INT(Az°)," ")</f>
        <v>103</v>
      </c>
      <c r="D33" s="198">
        <f>IFERROR((Az°-C33)*60," ")</f>
        <v>25.115144137818106</v>
      </c>
      <c r="E33" s="382">
        <f>IFERROR(INT(Az_°)," ")</f>
        <v>212</v>
      </c>
      <c r="F33" s="383"/>
      <c r="G33" s="195">
        <f>IFERROR((Az_°-E33)*60," ")</f>
        <v>15.435709496679806</v>
      </c>
      <c r="H33" s="204"/>
      <c r="T33" s="338"/>
      <c r="Y33" s="12"/>
    </row>
    <row r="34" spans="1:34">
      <c r="A34" s="3"/>
      <c r="B34" s="66" t="s">
        <v>21</v>
      </c>
      <c r="C34" s="58">
        <f>M12</f>
        <v>55</v>
      </c>
      <c r="D34" s="199">
        <f>N12</f>
        <v>54.739812534831884</v>
      </c>
      <c r="E34" s="373">
        <f>O12</f>
        <v>74</v>
      </c>
      <c r="F34" s="374"/>
      <c r="G34" s="196">
        <f>P12</f>
        <v>16.502838985732922</v>
      </c>
      <c r="H34" s="3"/>
      <c r="I34" s="341"/>
      <c r="T34" s="338"/>
      <c r="Y34" s="12"/>
    </row>
    <row r="35" spans="1:34">
      <c r="T35" s="338"/>
      <c r="Y35" s="12"/>
    </row>
    <row r="36" spans="1:34">
      <c r="T36" s="338"/>
      <c r="Y36" s="12"/>
    </row>
    <row r="37" spans="1:34" ht="17">
      <c r="B37" s="101" t="s">
        <v>138</v>
      </c>
      <c r="K37" s="101" t="s">
        <v>150</v>
      </c>
      <c r="N37" s="335"/>
      <c r="O37" s="336" t="s">
        <v>55</v>
      </c>
      <c r="P37" s="315">
        <v>1</v>
      </c>
      <c r="T37" s="338"/>
      <c r="Y37" s="12"/>
    </row>
    <row r="38" spans="1:34">
      <c r="T38" s="338"/>
      <c r="Y38" s="12"/>
    </row>
    <row r="39" spans="1:34">
      <c r="K39" s="337"/>
      <c r="L39" s="337"/>
      <c r="M39" s="337"/>
      <c r="N39" s="337"/>
      <c r="O39" s="337"/>
      <c r="P39" s="337"/>
      <c r="Q39" s="337"/>
      <c r="R39" s="337"/>
      <c r="T39" s="338"/>
      <c r="Y39" s="12"/>
      <c r="AG39" s="337"/>
      <c r="AH39" s="337"/>
    </row>
    <row r="40" spans="1:34">
      <c r="T40" s="338"/>
      <c r="Y40" s="12"/>
    </row>
    <row r="41" spans="1:34">
      <c r="T41" s="338"/>
      <c r="Y41" s="12"/>
    </row>
    <row r="42" spans="1:34">
      <c r="T42" s="338"/>
      <c r="Y42" s="12"/>
    </row>
    <row r="43" spans="1:34">
      <c r="T43" s="338"/>
      <c r="Y43" s="12"/>
    </row>
    <row r="44" spans="1:34">
      <c r="T44" s="338"/>
      <c r="Y44" s="12"/>
    </row>
    <row r="45" spans="1:34">
      <c r="T45" s="338"/>
      <c r="Y45" s="12"/>
    </row>
    <row r="46" spans="1:34">
      <c r="T46" s="338"/>
      <c r="Y46" s="12"/>
    </row>
    <row r="47" spans="1:34">
      <c r="T47" s="338"/>
      <c r="Y47" s="12"/>
    </row>
    <row r="48" spans="1:34">
      <c r="T48" s="338"/>
      <c r="Y48" s="12"/>
    </row>
    <row r="49" spans="19:25">
      <c r="T49" s="338"/>
      <c r="Y49" s="12"/>
    </row>
    <row r="50" spans="19:25">
      <c r="T50" s="338"/>
      <c r="Y50" s="12"/>
    </row>
    <row r="51" spans="19:25">
      <c r="S51" s="337"/>
      <c r="T51" s="338"/>
      <c r="Y51" s="12"/>
    </row>
    <row r="52" spans="19:25">
      <c r="T52" s="338"/>
      <c r="Y52" s="12"/>
    </row>
    <row r="53" spans="19:25">
      <c r="T53" s="338"/>
      <c r="Y53" s="12"/>
    </row>
    <row r="54" spans="19:25">
      <c r="T54" s="338"/>
      <c r="Y54" s="12"/>
    </row>
    <row r="55" spans="19:25">
      <c r="T55" s="338"/>
      <c r="Y55" s="12"/>
    </row>
    <row r="56" spans="19:25">
      <c r="T56" s="338"/>
      <c r="Y56" s="12"/>
    </row>
    <row r="57" spans="19:25">
      <c r="T57" s="338"/>
      <c r="Y57" s="12"/>
    </row>
    <row r="58" spans="19:25">
      <c r="T58" s="338"/>
      <c r="Y58" s="12"/>
    </row>
    <row r="59" spans="19:25">
      <c r="T59" s="338"/>
      <c r="Y59" s="12"/>
    </row>
    <row r="60" spans="19:25">
      <c r="T60" s="338"/>
      <c r="Y60" s="12"/>
    </row>
    <row r="61" spans="19:25">
      <c r="T61" s="338"/>
      <c r="Y61" s="12"/>
    </row>
    <row r="62" spans="19:25">
      <c r="T62" s="338"/>
      <c r="Y62" s="12"/>
    </row>
    <row r="63" spans="19:25">
      <c r="T63" s="338"/>
      <c r="Y63" s="12"/>
    </row>
    <row r="64" spans="19:25">
      <c r="T64" s="338"/>
      <c r="Y64" s="12"/>
    </row>
    <row r="65" spans="15:25">
      <c r="T65" s="338"/>
      <c r="Y65" s="12"/>
    </row>
    <row r="66" spans="15:25">
      <c r="O66" s="339"/>
      <c r="P66" s="338"/>
      <c r="Q66" s="338"/>
      <c r="R66" s="338"/>
      <c r="T66" s="338"/>
      <c r="Y66" s="12"/>
    </row>
    <row r="67" spans="15:25">
      <c r="O67" s="339"/>
      <c r="P67" s="338"/>
      <c r="Q67" s="338"/>
      <c r="R67" s="338"/>
      <c r="T67" s="338"/>
      <c r="Y67" s="12"/>
    </row>
    <row r="68" spans="15:25">
      <c r="O68" s="339"/>
      <c r="P68" s="338"/>
      <c r="Q68" s="338"/>
      <c r="R68" s="338"/>
      <c r="T68" s="338"/>
      <c r="Y68" s="12"/>
    </row>
    <row r="69" spans="15:25">
      <c r="O69" s="339"/>
      <c r="P69" s="338"/>
      <c r="Q69" s="338"/>
      <c r="R69" s="338"/>
      <c r="T69" s="338"/>
      <c r="Y69" s="12"/>
    </row>
    <row r="70" spans="15:25">
      <c r="O70" s="339"/>
      <c r="P70" s="338"/>
      <c r="Q70" s="338"/>
      <c r="R70" s="338"/>
      <c r="T70" s="338"/>
      <c r="Y70" s="12"/>
    </row>
    <row r="71" spans="15:25">
      <c r="O71" s="339"/>
      <c r="P71" s="338"/>
      <c r="Q71" s="338"/>
      <c r="R71" s="338"/>
      <c r="T71" s="338"/>
      <c r="Y71" s="12"/>
    </row>
    <row r="72" spans="15:25">
      <c r="O72" s="339"/>
      <c r="P72" s="338"/>
      <c r="Q72" s="338"/>
      <c r="R72" s="338"/>
      <c r="T72" s="338"/>
      <c r="Y72" s="12"/>
    </row>
    <row r="73" spans="15:25">
      <c r="O73" s="339"/>
      <c r="P73" s="338"/>
      <c r="Q73" s="338"/>
      <c r="R73" s="338"/>
      <c r="T73" s="338"/>
      <c r="Y73" s="12"/>
    </row>
    <row r="74" spans="15:25">
      <c r="T74" s="338"/>
      <c r="Y74" s="12"/>
    </row>
    <row r="75" spans="15:25">
      <c r="T75" s="338"/>
      <c r="Y75" s="12"/>
    </row>
    <row r="76" spans="15:25">
      <c r="T76" s="338"/>
      <c r="Y76" s="12"/>
    </row>
    <row r="77" spans="15:25">
      <c r="T77" s="338"/>
      <c r="Y77" s="12"/>
    </row>
    <row r="78" spans="15:25">
      <c r="S78" s="338"/>
      <c r="T78" s="338"/>
      <c r="Y78" s="12"/>
    </row>
    <row r="79" spans="15:25">
      <c r="S79" s="338"/>
      <c r="T79" s="338"/>
      <c r="Y79" s="12"/>
    </row>
    <row r="80" spans="15:25">
      <c r="S80" s="338"/>
      <c r="T80" s="338"/>
      <c r="Y80" s="12"/>
    </row>
    <row r="81" spans="19:25">
      <c r="S81" s="338"/>
      <c r="T81" s="338"/>
      <c r="Y81" s="12"/>
    </row>
    <row r="82" spans="19:25">
      <c r="S82" s="338"/>
      <c r="T82" s="338"/>
      <c r="Y82" s="12"/>
    </row>
    <row r="83" spans="19:25">
      <c r="S83" s="338"/>
      <c r="T83" s="338"/>
      <c r="Y83" s="12"/>
    </row>
    <row r="84" spans="19:25">
      <c r="S84" s="338"/>
      <c r="T84" s="338"/>
      <c r="Y84" s="12"/>
    </row>
    <row r="85" spans="19:25">
      <c r="S85" s="338"/>
      <c r="T85" s="338"/>
      <c r="Y85" s="12"/>
    </row>
    <row r="86" spans="19:25">
      <c r="Y86" s="12"/>
    </row>
    <row r="87" spans="19:25">
      <c r="Y87" s="12"/>
    </row>
    <row r="88" spans="19:25">
      <c r="Y88" s="12"/>
    </row>
    <row r="89" spans="19:25">
      <c r="Y89" s="12"/>
    </row>
    <row r="90" spans="19:25">
      <c r="Y90" s="12"/>
    </row>
    <row r="91" spans="19:25">
      <c r="Y91" s="12"/>
    </row>
    <row r="92" spans="19:25">
      <c r="Y92" s="12"/>
    </row>
  </sheetData>
  <sheetProtection algorithmName="SHA-512" hashValue="aEQhu9gshGNLuLpxKqC3snKnBcruiiTMv+5csyFd7tc48ULxN+i6WqUNuXTKCauHnYk9PEjq/u8er2XIIE9C2A==" saltValue="2SOg+y6+U+YvW4D2nOBgIQ==" spinCount="100000" sheet="1" selectLockedCells="1"/>
  <mergeCells count="23">
    <mergeCell ref="R19:R20"/>
    <mergeCell ref="C20:E20"/>
    <mergeCell ref="G20:H20"/>
    <mergeCell ref="D8:F8"/>
    <mergeCell ref="E21:F21"/>
    <mergeCell ref="C21:D21"/>
    <mergeCell ref="G21:H21"/>
    <mergeCell ref="G13:H13"/>
    <mergeCell ref="E17:G17"/>
    <mergeCell ref="D6:G6"/>
    <mergeCell ref="M6:N6"/>
    <mergeCell ref="O6:P6"/>
    <mergeCell ref="D7:G7"/>
    <mergeCell ref="G12:H12"/>
    <mergeCell ref="E34:F34"/>
    <mergeCell ref="C26:D26"/>
    <mergeCell ref="F26:G26"/>
    <mergeCell ref="C29:D29"/>
    <mergeCell ref="E29:G29"/>
    <mergeCell ref="E30:F30"/>
    <mergeCell ref="E31:F31"/>
    <mergeCell ref="E32:F32"/>
    <mergeCell ref="E33:F33"/>
  </mergeCells>
  <pageMargins left="0.7" right="0.7" top="0.78740157499999996" bottom="0.78740157499999996" header="0.3" footer="0.3"/>
  <pageSetup paperSize="9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BE153-CB63-C74B-98F7-7BA9F0E28284}">
  <dimension ref="A1:T60"/>
  <sheetViews>
    <sheetView showGridLines="0" showRowColHeaders="0" workbookViewId="0">
      <selection activeCell="G35" sqref="G35"/>
    </sheetView>
  </sheetViews>
  <sheetFormatPr baseColWidth="10" defaultRowHeight="16"/>
  <sheetData>
    <row r="1" spans="1:20" ht="17" thickBot="1">
      <c r="A1" s="3"/>
      <c r="B1" s="3"/>
      <c r="C1" s="3"/>
      <c r="D1" s="3"/>
      <c r="E1" s="3"/>
      <c r="F1" s="3"/>
      <c r="G1" s="3"/>
      <c r="H1" s="3"/>
      <c r="I1" s="100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 ht="21" thickBot="1">
      <c r="A2" s="3"/>
      <c r="B2" s="101" t="s">
        <v>53</v>
      </c>
      <c r="C2" s="3"/>
      <c r="D2" s="3"/>
      <c r="E2" s="3"/>
      <c r="F2" s="408" t="s">
        <v>54</v>
      </c>
      <c r="G2" s="409"/>
      <c r="H2" s="410"/>
      <c r="I2" s="100"/>
      <c r="M2" s="3"/>
      <c r="N2" s="3"/>
      <c r="O2" s="3"/>
      <c r="P2" s="3"/>
      <c r="Q2" s="3"/>
      <c r="R2" s="3"/>
      <c r="S2" s="3"/>
      <c r="T2" s="3"/>
    </row>
    <row r="3" spans="1:20" ht="20">
      <c r="A3" s="3"/>
      <c r="B3" s="3"/>
      <c r="C3" s="3"/>
      <c r="D3" s="3"/>
      <c r="E3" s="3"/>
      <c r="F3" s="3"/>
      <c r="G3" s="3"/>
      <c r="H3" s="3"/>
      <c r="I3" s="100"/>
      <c r="J3" s="102"/>
      <c r="K3" s="102"/>
      <c r="L3" s="102"/>
      <c r="M3" s="3"/>
      <c r="N3" s="3"/>
      <c r="O3" s="3"/>
      <c r="P3" s="3"/>
      <c r="Q3" s="3"/>
      <c r="R3" s="3"/>
      <c r="S3" s="3"/>
      <c r="T3" s="3"/>
    </row>
    <row r="4" spans="1:20" ht="20">
      <c r="A4" s="3"/>
      <c r="B4" s="3"/>
      <c r="C4" s="3"/>
      <c r="D4" s="3"/>
      <c r="E4" s="3"/>
      <c r="F4" s="3"/>
      <c r="G4" s="3"/>
      <c r="H4" s="3"/>
      <c r="I4" s="100"/>
      <c r="J4" s="102"/>
      <c r="K4" s="102"/>
      <c r="L4" s="102"/>
      <c r="M4" s="3"/>
      <c r="N4" s="3"/>
      <c r="O4" s="3"/>
      <c r="P4" s="3"/>
      <c r="Q4" s="3"/>
      <c r="R4" s="3"/>
      <c r="S4" s="3"/>
      <c r="T4" s="3"/>
    </row>
    <row r="5" spans="1:20" ht="16" customHeight="1">
      <c r="A5" s="3"/>
      <c r="B5" s="3"/>
      <c r="C5" s="3"/>
      <c r="D5" s="3"/>
      <c r="E5" s="3"/>
      <c r="F5" s="3"/>
      <c r="G5" s="3"/>
      <c r="H5" s="3"/>
      <c r="I5" s="100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 ht="16" customHeight="1" thickBot="1">
      <c r="A6" s="3"/>
      <c r="B6" s="3"/>
      <c r="C6" s="3"/>
      <c r="D6" s="3"/>
      <c r="E6" s="3"/>
      <c r="F6" s="3"/>
      <c r="G6" s="3"/>
      <c r="H6" s="3"/>
      <c r="I6" s="100"/>
      <c r="J6" s="13" t="s">
        <v>77</v>
      </c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16" customHeight="1">
      <c r="A7" s="3"/>
      <c r="B7" s="3"/>
      <c r="C7" s="3"/>
      <c r="D7" s="3"/>
      <c r="E7" s="3"/>
      <c r="F7" s="3"/>
      <c r="G7" s="3"/>
      <c r="H7" s="3"/>
      <c r="I7" s="100"/>
      <c r="J7" s="411" t="s">
        <v>56</v>
      </c>
      <c r="K7" s="412"/>
      <c r="L7" s="412"/>
      <c r="M7" s="103">
        <f>cmg</f>
        <v>260</v>
      </c>
      <c r="N7" s="104"/>
      <c r="O7" s="105"/>
      <c r="P7" s="3"/>
      <c r="Q7" s="3"/>
      <c r="R7" s="3"/>
      <c r="S7" s="3"/>
      <c r="T7" s="3"/>
    </row>
    <row r="8" spans="1:20" ht="16" customHeight="1">
      <c r="A8" s="3"/>
      <c r="B8" s="3"/>
      <c r="C8" s="3"/>
      <c r="D8" s="3"/>
      <c r="E8" s="3"/>
      <c r="F8" s="3"/>
      <c r="G8" s="3"/>
      <c r="H8" s="3"/>
      <c r="I8" s="100"/>
      <c r="J8" s="413" t="s">
        <v>57</v>
      </c>
      <c r="K8" s="414"/>
      <c r="L8" s="414"/>
      <c r="M8" s="106">
        <f>dmg</f>
        <v>18</v>
      </c>
      <c r="N8" s="107" t="s">
        <v>58</v>
      </c>
      <c r="O8" s="108"/>
      <c r="P8" s="3"/>
      <c r="Q8" s="3"/>
      <c r="R8" s="3"/>
      <c r="S8" s="3"/>
      <c r="T8" s="3"/>
    </row>
    <row r="9" spans="1:20" ht="16" customHeight="1">
      <c r="A9" s="3"/>
      <c r="B9" s="3"/>
      <c r="C9" s="3"/>
      <c r="D9" s="3"/>
      <c r="E9" s="3"/>
      <c r="F9" s="3"/>
      <c r="G9" s="3"/>
      <c r="H9" s="3"/>
      <c r="I9" s="100"/>
      <c r="J9" s="413" t="s">
        <v>59</v>
      </c>
      <c r="K9" s="414"/>
      <c r="L9" s="414"/>
      <c r="M9" s="106">
        <f>dmg*COS(RADIANS(cmg))</f>
        <v>-3.1256671980047459</v>
      </c>
      <c r="N9" s="109" t="s">
        <v>58</v>
      </c>
      <c r="O9" s="110">
        <f>M9/60</f>
        <v>-5.2094453300079099E-2</v>
      </c>
      <c r="P9" s="3"/>
      <c r="Q9" s="3"/>
      <c r="R9" s="111"/>
      <c r="S9" s="3"/>
      <c r="T9" s="3"/>
    </row>
    <row r="10" spans="1:20" ht="16" customHeight="1">
      <c r="A10" s="3"/>
      <c r="B10" s="3"/>
      <c r="C10" s="3"/>
      <c r="D10" s="3"/>
      <c r="E10" s="3"/>
      <c r="F10" s="3"/>
      <c r="G10" s="3"/>
      <c r="H10" s="3"/>
      <c r="I10" s="100"/>
      <c r="J10" s="413" t="s">
        <v>69</v>
      </c>
      <c r="K10" s="414"/>
      <c r="L10" s="414"/>
      <c r="M10" s="106">
        <f>dmg*SIN(RADIANS(cmg))</f>
        <v>-17.726539554219745</v>
      </c>
      <c r="N10" s="109" t="s">
        <v>58</v>
      </c>
      <c r="O10" s="110">
        <f>M10/60/COS(RADIANS(lat))</f>
        <v>-0.364238434918563</v>
      </c>
      <c r="P10" s="3"/>
      <c r="Q10" s="3"/>
      <c r="R10" s="111"/>
      <c r="S10" s="3"/>
      <c r="T10" s="3"/>
    </row>
    <row r="11" spans="1:20" ht="16" customHeight="1">
      <c r="A11" s="3"/>
      <c r="B11" s="3"/>
      <c r="C11" s="3"/>
      <c r="D11" s="3"/>
      <c r="E11" s="3"/>
      <c r="F11" s="3"/>
      <c r="G11" s="3"/>
      <c r="H11" s="3"/>
      <c r="I11" s="100"/>
      <c r="J11" s="112"/>
      <c r="K11" s="25"/>
      <c r="L11" s="113" t="s">
        <v>60</v>
      </c>
      <c r="M11" s="114">
        <f>ABS(BB)/40</f>
        <v>2.5000000000000001E-2</v>
      </c>
      <c r="N11" s="25"/>
      <c r="O11" s="115"/>
      <c r="P11" s="3"/>
      <c r="Q11" s="3"/>
      <c r="R11" s="3"/>
      <c r="S11" s="3"/>
      <c r="T11" s="3"/>
    </row>
    <row r="12" spans="1:20" ht="16" customHeight="1">
      <c r="A12" s="3"/>
      <c r="B12" s="3"/>
      <c r="C12" s="3"/>
      <c r="D12" s="3"/>
      <c r="E12" s="3"/>
      <c r="F12" s="3"/>
      <c r="G12" s="3"/>
      <c r="H12" s="3"/>
      <c r="I12" s="100"/>
      <c r="J12" s="116"/>
      <c r="K12" s="3"/>
      <c r="L12" s="117" t="s">
        <v>61</v>
      </c>
      <c r="M12" s="14" t="str">
        <f>IF(LHA°&gt;180,"E","W")</f>
        <v>E</v>
      </c>
      <c r="N12" s="3"/>
      <c r="O12" s="118"/>
      <c r="P12" s="3"/>
      <c r="Q12" s="3"/>
      <c r="R12" s="3"/>
      <c r="S12" s="3"/>
      <c r="T12" s="3"/>
    </row>
    <row r="13" spans="1:20" ht="16" customHeight="1" thickBot="1">
      <c r="A13" s="3"/>
      <c r="B13" s="3"/>
      <c r="C13" s="3"/>
      <c r="D13" s="3"/>
      <c r="E13" s="3"/>
      <c r="F13" s="3"/>
      <c r="G13" s="3"/>
      <c r="H13" s="3"/>
      <c r="I13" s="100"/>
      <c r="J13" s="119"/>
      <c r="K13" s="120"/>
      <c r="L13" s="121" t="s">
        <v>62</v>
      </c>
      <c r="M13" s="122" t="str">
        <f>IF(LHA°_&lt;180,"W","E")</f>
        <v>W</v>
      </c>
      <c r="N13" s="120"/>
      <c r="O13" s="123"/>
      <c r="P13" s="3"/>
      <c r="Q13" s="3"/>
      <c r="R13" s="3"/>
      <c r="S13" s="3"/>
      <c r="T13" s="3"/>
    </row>
    <row r="14" spans="1:20" ht="16" customHeight="1">
      <c r="A14" s="3"/>
      <c r="B14" s="3"/>
      <c r="C14" s="3"/>
      <c r="D14" s="3"/>
      <c r="E14" s="3"/>
      <c r="F14" s="3"/>
      <c r="G14" s="3"/>
      <c r="H14" s="3"/>
      <c r="I14" s="100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</row>
    <row r="15" spans="1:20" ht="16" customHeight="1" thickBot="1">
      <c r="A15" s="3"/>
      <c r="B15" s="3"/>
      <c r="C15" s="3"/>
      <c r="D15" s="3"/>
      <c r="E15" s="3"/>
      <c r="F15" s="3"/>
      <c r="G15" s="3"/>
      <c r="H15" s="3"/>
      <c r="I15" s="100"/>
      <c r="J15" s="13" t="s">
        <v>63</v>
      </c>
      <c r="K15" s="3"/>
      <c r="L15" s="3"/>
      <c r="M15" s="3"/>
      <c r="N15" s="3"/>
      <c r="O15" s="3"/>
      <c r="P15" s="3"/>
      <c r="Q15" s="3"/>
      <c r="R15" s="3"/>
      <c r="S15" s="3"/>
      <c r="T15" s="3"/>
    </row>
    <row r="16" spans="1:20" ht="16" customHeight="1" thickBot="1">
      <c r="A16" s="3"/>
      <c r="B16" s="3"/>
      <c r="C16" s="3"/>
      <c r="D16" s="3"/>
      <c r="E16" s="3"/>
      <c r="F16" s="3"/>
      <c r="G16" s="3"/>
      <c r="H16" s="3"/>
      <c r="I16" s="100"/>
      <c r="J16" s="124" t="s">
        <v>64</v>
      </c>
      <c r="K16" s="125" t="s">
        <v>70</v>
      </c>
      <c r="L16" s="161" t="s">
        <v>71</v>
      </c>
      <c r="M16" s="161" t="s">
        <v>72</v>
      </c>
      <c r="N16" s="161" t="s">
        <v>73</v>
      </c>
      <c r="O16" s="126" t="s">
        <v>74</v>
      </c>
      <c r="P16" s="126" t="s">
        <v>75</v>
      </c>
      <c r="Q16" s="127" t="s">
        <v>65</v>
      </c>
      <c r="R16" s="162" t="s">
        <v>76</v>
      </c>
      <c r="S16" s="3"/>
      <c r="T16" s="3"/>
    </row>
    <row r="17" spans="1:20" ht="16" customHeight="1">
      <c r="A17" s="3"/>
      <c r="B17" s="3"/>
      <c r="C17" s="3"/>
      <c r="D17" s="3"/>
      <c r="E17" s="3"/>
      <c r="F17" s="3"/>
      <c r="G17" s="3"/>
      <c r="H17" s="3"/>
      <c r="I17" s="100"/>
      <c r="J17" s="128"/>
      <c r="K17" s="129"/>
      <c r="L17" s="129"/>
      <c r="M17" s="129"/>
      <c r="N17" s="129"/>
      <c r="O17" s="130"/>
      <c r="P17" s="131"/>
      <c r="Q17" s="132"/>
      <c r="R17" s="133"/>
      <c r="S17" s="3"/>
      <c r="T17" s="3"/>
    </row>
    <row r="18" spans="1:20" ht="16" customHeight="1">
      <c r="A18" s="3"/>
      <c r="B18" s="3"/>
      <c r="C18" s="3"/>
      <c r="D18" s="3"/>
      <c r="E18" s="3"/>
      <c r="F18" s="3"/>
      <c r="G18" s="3"/>
      <c r="H18" s="3"/>
      <c r="I18" s="100"/>
      <c r="J18" s="134">
        <f>J19+$M$11</f>
        <v>36.320208743365662</v>
      </c>
      <c r="K18" s="135">
        <f t="shared" ref="K18:K58" si="0">RADIANS(J18)</f>
        <v>0.63390722758336293</v>
      </c>
      <c r="L18" s="135">
        <f>IFERROR(DEGREES(grt+IF(B="W",-1,1)*ACOS((SIN(h)-SIN(d)*SIN(K18))/COS(d)/COS(K18))),#N/A)</f>
        <v>339.91436540245019</v>
      </c>
      <c r="M18" s="135">
        <f>IFERROR(DEGREES(grt_+IF(B_="W",-1,1)*ACOS((SIN(h_)-SIN(d_)*SIN(K18))/COS(d_)/COS(K18))),#N/A)</f>
        <v>341.55156602701697</v>
      </c>
      <c r="N18" s="135">
        <f t="shared" ref="N18:N58" si="1">IFERROR(DEGREES(grt+IF(B="W",-1,1)*ACOS((SIN(hs)-SIN(d)*SIN(K18))/COS(d)/COS(K18))),#N/A)</f>
        <v>340.26715960119918</v>
      </c>
      <c r="O18" s="136">
        <f t="shared" ref="O18:Q40" si="2">IF(L18&lt;0,ABS(L18),IF(L18&gt;360,-(L18-360),IF(AND(L18&gt;180,L18&lt;360),360-L18,-L18)))</f>
        <v>20.085634597549813</v>
      </c>
      <c r="P18" s="137">
        <f>IF(M18&lt;0,ABS(M18),IF(M18&gt;360,-(M18-360),IF(AND(M18&gt;180,M18&lt;360),360-M18,-M18)))</f>
        <v>18.448433972983025</v>
      </c>
      <c r="Q18" s="138">
        <f>IF(N18&lt;0,ABS(N18),IF(N18&gt;360,-(N18-360),IF(AND(N18&gt;180,N18&lt;360),360-N18,-N18)))</f>
        <v>19.732840398800818</v>
      </c>
      <c r="R18" s="139"/>
      <c r="S18" s="3"/>
      <c r="T18" s="3"/>
    </row>
    <row r="19" spans="1:20" ht="16" customHeight="1">
      <c r="A19" s="3"/>
      <c r="B19" s="3"/>
      <c r="C19" s="3"/>
      <c r="D19" s="3"/>
      <c r="E19" s="3"/>
      <c r="F19" s="3"/>
      <c r="G19" s="3"/>
      <c r="H19" s="3"/>
      <c r="I19" s="100"/>
      <c r="J19" s="134">
        <f>J20+$M$11</f>
        <v>36.295208743365663</v>
      </c>
      <c r="K19" s="135">
        <f t="shared" si="0"/>
        <v>0.63347089527036438</v>
      </c>
      <c r="L19" s="135">
        <f t="shared" ref="L19:L42" si="3">IFERROR(DEGREES(grt+IF(B="W",-1,1)*ACOS((SIN(h)-SIN(d)*SIN(K19))/COS(d)/COS(K19))),#N/A)</f>
        <v>339.92242522213201</v>
      </c>
      <c r="M19" s="135">
        <f t="shared" ref="M19:M58" si="4">IFERROR(DEGREES(grt_+IF(B_="W",-1,1)*ACOS((SIN(h_)-SIN(d_)*SIN(K19))/COS(d_)/COS(K19))),#N/A)</f>
        <v>341.4931634100152</v>
      </c>
      <c r="N19" s="135">
        <f t="shared" si="1"/>
        <v>340.27503887355948</v>
      </c>
      <c r="O19" s="136">
        <f t="shared" si="2"/>
        <v>20.077574777867994</v>
      </c>
      <c r="P19" s="137">
        <f t="shared" si="2"/>
        <v>18.5068365899848</v>
      </c>
      <c r="Q19" s="138">
        <f t="shared" si="2"/>
        <v>19.724961126440519</v>
      </c>
      <c r="R19" s="139"/>
      <c r="S19" s="3"/>
      <c r="T19" s="3"/>
    </row>
    <row r="20" spans="1:20" ht="16" customHeight="1">
      <c r="A20" s="3"/>
      <c r="B20" s="3"/>
      <c r="C20" s="3"/>
      <c r="D20" s="3"/>
      <c r="E20" s="3"/>
      <c r="F20" s="3"/>
      <c r="G20" s="3"/>
      <c r="H20" s="3"/>
      <c r="I20" s="100"/>
      <c r="J20" s="134">
        <f t="shared" ref="J20:J35" si="5">J21+$M$11</f>
        <v>36.270208743365664</v>
      </c>
      <c r="K20" s="135">
        <f t="shared" si="0"/>
        <v>0.63303456295736582</v>
      </c>
      <c r="L20" s="135">
        <f t="shared" si="3"/>
        <v>339.9304576599128</v>
      </c>
      <c r="M20" s="135">
        <f t="shared" si="4"/>
        <v>341.43532398459581</v>
      </c>
      <c r="N20" s="135">
        <f t="shared" si="1"/>
        <v>340.28289120906345</v>
      </c>
      <c r="O20" s="136">
        <f t="shared" si="2"/>
        <v>20.069542340087196</v>
      </c>
      <c r="P20" s="137">
        <f t="shared" si="2"/>
        <v>18.564676015404189</v>
      </c>
      <c r="Q20" s="138">
        <f t="shared" si="2"/>
        <v>19.71710879093655</v>
      </c>
      <c r="R20" s="139"/>
      <c r="S20" s="3"/>
      <c r="T20" s="3"/>
    </row>
    <row r="21" spans="1:20" ht="16" customHeight="1">
      <c r="A21" s="3"/>
      <c r="B21" s="3"/>
      <c r="C21" s="3"/>
      <c r="D21" s="3"/>
      <c r="E21" s="3"/>
      <c r="F21" s="3"/>
      <c r="G21" s="3"/>
      <c r="H21" s="3"/>
      <c r="I21" s="100"/>
      <c r="J21" s="134">
        <f t="shared" si="5"/>
        <v>36.245208743365666</v>
      </c>
      <c r="K21" s="135">
        <f t="shared" si="0"/>
        <v>0.63259823064436727</v>
      </c>
      <c r="L21" s="135">
        <f t="shared" si="3"/>
        <v>339.93846275972584</v>
      </c>
      <c r="M21" s="135">
        <f t="shared" si="4"/>
        <v>341.37803545284902</v>
      </c>
      <c r="N21" s="135">
        <f t="shared" si="1"/>
        <v>340.29071665041636</v>
      </c>
      <c r="O21" s="136">
        <f t="shared" si="2"/>
        <v>20.061537240274163</v>
      </c>
      <c r="P21" s="137">
        <f t="shared" si="2"/>
        <v>18.621964547150981</v>
      </c>
      <c r="Q21" s="138">
        <f t="shared" si="2"/>
        <v>19.709283349583643</v>
      </c>
      <c r="R21" s="139"/>
      <c r="S21" s="3"/>
      <c r="T21" s="3"/>
    </row>
    <row r="22" spans="1:20" ht="16" customHeight="1">
      <c r="A22" s="3"/>
      <c r="B22" s="3"/>
      <c r="C22" s="3"/>
      <c r="D22" s="3"/>
      <c r="E22" s="3"/>
      <c r="F22" s="3"/>
      <c r="G22" s="3"/>
      <c r="H22" s="3"/>
      <c r="I22" s="100"/>
      <c r="J22" s="134">
        <f t="shared" si="5"/>
        <v>36.220208743365667</v>
      </c>
      <c r="K22" s="135">
        <f t="shared" si="0"/>
        <v>0.63216189833136871</v>
      </c>
      <c r="L22" s="135">
        <f t="shared" si="3"/>
        <v>339.94644056535356</v>
      </c>
      <c r="M22" s="135">
        <f t="shared" si="4"/>
        <v>341.32128597962571</v>
      </c>
      <c r="N22" s="135">
        <f t="shared" si="1"/>
        <v>340.29851524017852</v>
      </c>
      <c r="O22" s="136">
        <f t="shared" si="2"/>
        <v>20.053559434646445</v>
      </c>
      <c r="P22" s="137">
        <f t="shared" si="2"/>
        <v>18.678714020374287</v>
      </c>
      <c r="Q22" s="138">
        <f t="shared" si="2"/>
        <v>19.701484759821483</v>
      </c>
      <c r="R22" s="139"/>
      <c r="S22" s="3"/>
      <c r="T22" s="3"/>
    </row>
    <row r="23" spans="1:20" ht="16" customHeight="1">
      <c r="A23" s="3"/>
      <c r="B23" s="3"/>
      <c r="C23" s="3"/>
      <c r="D23" s="3"/>
      <c r="E23" s="3"/>
      <c r="F23" s="3"/>
      <c r="G23" s="3"/>
      <c r="H23" s="3"/>
      <c r="I23" s="100"/>
      <c r="J23" s="134">
        <f t="shared" si="5"/>
        <v>36.195208743365669</v>
      </c>
      <c r="K23" s="135">
        <f t="shared" si="0"/>
        <v>0.63172556601837015</v>
      </c>
      <c r="L23" s="135">
        <f t="shared" si="3"/>
        <v>339.9543911204288</v>
      </c>
      <c r="M23" s="135">
        <f t="shared" si="4"/>
        <v>341.2650641683461</v>
      </c>
      <c r="N23" s="135">
        <f t="shared" si="1"/>
        <v>340.30628702076575</v>
      </c>
      <c r="O23" s="136">
        <f t="shared" si="2"/>
        <v>20.045608879571205</v>
      </c>
      <c r="P23" s="137">
        <f t="shared" si="2"/>
        <v>18.7349358316539</v>
      </c>
      <c r="Q23" s="138">
        <f t="shared" si="2"/>
        <v>19.693712979234249</v>
      </c>
      <c r="R23" s="139"/>
      <c r="S23" s="3"/>
      <c r="T23" s="3"/>
    </row>
    <row r="24" spans="1:20" ht="16" customHeight="1">
      <c r="A24" s="3"/>
      <c r="B24" s="3"/>
      <c r="C24" s="3"/>
      <c r="D24" s="3"/>
      <c r="E24" s="3"/>
      <c r="F24" s="3"/>
      <c r="G24" s="3"/>
      <c r="H24" s="3"/>
      <c r="I24" s="100"/>
      <c r="J24" s="134">
        <f t="shared" si="5"/>
        <v>36.17020874336567</v>
      </c>
      <c r="K24" s="135">
        <f t="shared" si="0"/>
        <v>0.6312892337053716</v>
      </c>
      <c r="L24" s="135">
        <f t="shared" si="3"/>
        <v>339.96231446843501</v>
      </c>
      <c r="M24" s="135">
        <f t="shared" si="4"/>
        <v>341.20935903841735</v>
      </c>
      <c r="N24" s="135">
        <f t="shared" si="1"/>
        <v>340.31403203445029</v>
      </c>
      <c r="O24" s="136">
        <f t="shared" si="2"/>
        <v>20.037685531564989</v>
      </c>
      <c r="P24" s="137">
        <f t="shared" si="2"/>
        <v>18.790640961582653</v>
      </c>
      <c r="Q24" s="138">
        <f t="shared" si="2"/>
        <v>19.685967965549708</v>
      </c>
      <c r="R24" s="139"/>
      <c r="S24" s="3"/>
      <c r="T24" s="3"/>
    </row>
    <row r="25" spans="1:20" ht="16" customHeight="1">
      <c r="A25" s="3"/>
      <c r="B25" s="3"/>
      <c r="C25" s="3"/>
      <c r="D25" s="3"/>
      <c r="E25" s="3"/>
      <c r="F25" s="3"/>
      <c r="G25" s="3"/>
      <c r="H25" s="3"/>
      <c r="I25" s="61"/>
      <c r="J25" s="134">
        <f t="shared" si="5"/>
        <v>36.145208743365671</v>
      </c>
      <c r="K25" s="135">
        <f t="shared" si="0"/>
        <v>0.63085290139237304</v>
      </c>
      <c r="L25" s="135">
        <f t="shared" si="3"/>
        <v>339.97021065270695</v>
      </c>
      <c r="M25" s="135">
        <f t="shared" si="4"/>
        <v>341.15416000412631</v>
      </c>
      <c r="N25" s="135">
        <f t="shared" si="1"/>
        <v>340.32175032336102</v>
      </c>
      <c r="O25" s="136">
        <f t="shared" si="2"/>
        <v>20.029789347293047</v>
      </c>
      <c r="P25" s="137">
        <f t="shared" si="2"/>
        <v>18.845839995873689</v>
      </c>
      <c r="Q25" s="138">
        <f t="shared" si="2"/>
        <v>19.678249676638984</v>
      </c>
      <c r="R25" s="139"/>
      <c r="S25" s="3"/>
      <c r="T25" s="3"/>
    </row>
    <row r="26" spans="1:20" ht="16" customHeight="1">
      <c r="A26" s="3"/>
      <c r="B26" s="3"/>
      <c r="C26" s="3"/>
      <c r="D26" s="3"/>
      <c r="E26" s="3"/>
      <c r="F26" s="3"/>
      <c r="G26" s="3"/>
      <c r="H26" s="3"/>
      <c r="I26" s="100"/>
      <c r="J26" s="134">
        <f>J27+$M$11</f>
        <v>36.120208743365673</v>
      </c>
      <c r="K26" s="135">
        <f t="shared" si="0"/>
        <v>0.63041656907937449</v>
      </c>
      <c r="L26" s="135">
        <f t="shared" si="3"/>
        <v>339.9780797164313</v>
      </c>
      <c r="M26" s="135">
        <f t="shared" si="4"/>
        <v>341.09945685489475</v>
      </c>
      <c r="N26" s="135">
        <f t="shared" si="1"/>
        <v>340.32944192948401</v>
      </c>
      <c r="O26" s="136">
        <f t="shared" si="2"/>
        <v>20.021920283568704</v>
      </c>
      <c r="P26" s="137">
        <f t="shared" si="2"/>
        <v>18.900543145105246</v>
      </c>
      <c r="Q26" s="138">
        <f t="shared" si="2"/>
        <v>19.670558070515995</v>
      </c>
      <c r="R26" s="139"/>
      <c r="S26" s="3"/>
      <c r="T26" s="3"/>
    </row>
    <row r="27" spans="1:20" ht="16" customHeight="1">
      <c r="A27" s="3"/>
      <c r="B27" s="3"/>
      <c r="C27" s="3"/>
      <c r="D27" s="3"/>
      <c r="E27" s="3"/>
      <c r="F27" s="3"/>
      <c r="G27" s="3"/>
      <c r="H27" s="3"/>
      <c r="I27" s="100"/>
      <c r="J27" s="134">
        <f t="shared" si="5"/>
        <v>36.095208743365674</v>
      </c>
      <c r="K27" s="135">
        <f t="shared" si="0"/>
        <v>0.62998023676637593</v>
      </c>
      <c r="L27" s="135">
        <f t="shared" si="3"/>
        <v>339.98592170264703</v>
      </c>
      <c r="M27" s="135">
        <f t="shared" si="4"/>
        <v>341.04523973678897</v>
      </c>
      <c r="N27" s="135">
        <f t="shared" si="1"/>
        <v>340.33710689466346</v>
      </c>
      <c r="O27" s="136">
        <f t="shared" si="2"/>
        <v>20.014078297352967</v>
      </c>
      <c r="P27" s="137">
        <f t="shared" si="2"/>
        <v>18.954760263211028</v>
      </c>
      <c r="Q27" s="138">
        <f t="shared" si="2"/>
        <v>19.662893105336536</v>
      </c>
      <c r="R27" s="139"/>
      <c r="S27" s="3"/>
      <c r="T27" s="3"/>
    </row>
    <row r="28" spans="1:20" ht="16" customHeight="1">
      <c r="A28" s="3"/>
      <c r="B28" s="3"/>
      <c r="C28" s="3"/>
      <c r="D28" s="3"/>
      <c r="E28" s="3"/>
      <c r="F28" s="3"/>
      <c r="G28" s="3"/>
      <c r="H28" s="3"/>
      <c r="I28" s="100"/>
      <c r="J28" s="134">
        <f t="shared" si="5"/>
        <v>36.070208743365676</v>
      </c>
      <c r="K28" s="135">
        <f t="shared" si="0"/>
        <v>0.62954390445337738</v>
      </c>
      <c r="L28" s="135">
        <f t="shared" si="3"/>
        <v>339.99373665424645</v>
      </c>
      <c r="M28" s="135">
        <f t="shared" si="4"/>
        <v>340.99149913518789</v>
      </c>
      <c r="N28" s="135">
        <f t="shared" si="1"/>
        <v>340.34474526060194</v>
      </c>
      <c r="O28" s="136">
        <f t="shared" si="2"/>
        <v>20.006263345753553</v>
      </c>
      <c r="P28" s="137">
        <f t="shared" si="2"/>
        <v>19.008500864812106</v>
      </c>
      <c r="Q28" s="138">
        <f t="shared" si="2"/>
        <v>19.65525473939806</v>
      </c>
      <c r="R28" s="139"/>
      <c r="S28" s="3"/>
      <c r="T28" s="3"/>
    </row>
    <row r="29" spans="1:20" ht="16" customHeight="1">
      <c r="A29" s="3"/>
      <c r="B29" s="3"/>
      <c r="C29" s="3"/>
      <c r="D29" s="3"/>
      <c r="E29" s="3"/>
      <c r="F29" s="3"/>
      <c r="G29" s="3"/>
      <c r="H29" s="3"/>
      <c r="I29" s="100"/>
      <c r="J29" s="134">
        <f t="shared" si="5"/>
        <v>36.045208743365677</v>
      </c>
      <c r="K29" s="135">
        <f t="shared" si="0"/>
        <v>0.62910757214037882</v>
      </c>
      <c r="L29" s="135">
        <f t="shared" si="3"/>
        <v>340.00152461397533</v>
      </c>
      <c r="M29" s="135">
        <f t="shared" si="4"/>
        <v>340.93822585852348</v>
      </c>
      <c r="N29" s="135">
        <f t="shared" si="1"/>
        <v>340.35235706886084</v>
      </c>
      <c r="O29" s="136">
        <f t="shared" si="2"/>
        <v>19.998475386024666</v>
      </c>
      <c r="P29" s="137">
        <f t="shared" si="2"/>
        <v>19.061774141476519</v>
      </c>
      <c r="Q29" s="138">
        <f t="shared" si="2"/>
        <v>19.64764293113916</v>
      </c>
      <c r="R29" s="139"/>
      <c r="S29" s="3"/>
      <c r="T29" s="3"/>
    </row>
    <row r="30" spans="1:20" ht="16" customHeight="1">
      <c r="A30" s="3"/>
      <c r="B30" s="3"/>
      <c r="C30" s="3"/>
      <c r="D30" s="3"/>
      <c r="E30" s="3"/>
      <c r="F30" s="3"/>
      <c r="G30" s="3"/>
      <c r="H30" s="3"/>
      <c r="I30" s="100"/>
      <c r="J30" s="134">
        <f t="shared" si="5"/>
        <v>36.020208743365679</v>
      </c>
      <c r="K30" s="135">
        <f t="shared" si="0"/>
        <v>0.62867123982738027</v>
      </c>
      <c r="L30" s="135">
        <f t="shared" si="3"/>
        <v>340.00928562443374</v>
      </c>
      <c r="M30" s="135">
        <f t="shared" si="4"/>
        <v>340.88541102301082</v>
      </c>
      <c r="N30" s="135">
        <f t="shared" si="1"/>
        <v>340.35994236086117</v>
      </c>
      <c r="O30" s="136">
        <f t="shared" si="2"/>
        <v>19.990714375566256</v>
      </c>
      <c r="P30" s="137">
        <f t="shared" si="2"/>
        <v>19.114588976989182</v>
      </c>
      <c r="Q30" s="138">
        <f t="shared" si="2"/>
        <v>19.640057639138831</v>
      </c>
      <c r="R30" s="139"/>
      <c r="S30" s="3"/>
      <c r="T30" s="3"/>
    </row>
    <row r="31" spans="1:20" ht="16" customHeight="1">
      <c r="A31" s="3"/>
      <c r="B31" s="3"/>
      <c r="C31" s="3"/>
      <c r="D31" s="3"/>
      <c r="E31" s="3"/>
      <c r="F31" s="3"/>
      <c r="G31" s="3"/>
      <c r="H31" s="3"/>
      <c r="I31" s="100"/>
      <c r="J31" s="134">
        <f t="shared" si="5"/>
        <v>35.99520874336568</v>
      </c>
      <c r="K31" s="135">
        <f t="shared" si="0"/>
        <v>0.62823490751438171</v>
      </c>
      <c r="L31" s="135">
        <f t="shared" si="3"/>
        <v>340.01701972807638</v>
      </c>
      <c r="M31" s="135">
        <f t="shared" si="4"/>
        <v>340.83304603829782</v>
      </c>
      <c r="N31" s="135">
        <f t="shared" si="1"/>
        <v>340.36750117788409</v>
      </c>
      <c r="O31" s="136">
        <f t="shared" si="2"/>
        <v>19.982980271923623</v>
      </c>
      <c r="P31" s="137">
        <f t="shared" si="2"/>
        <v>19.166953961702177</v>
      </c>
      <c r="Q31" s="138">
        <f t="shared" si="2"/>
        <v>19.632498822115906</v>
      </c>
      <c r="R31" s="139"/>
      <c r="S31" s="3"/>
      <c r="T31" s="3"/>
    </row>
    <row r="32" spans="1:20" ht="16" customHeight="1">
      <c r="A32" s="3"/>
      <c r="B32" s="3"/>
      <c r="C32" s="3"/>
      <c r="D32" s="3"/>
      <c r="E32" s="3"/>
      <c r="F32" s="3"/>
      <c r="G32" s="3"/>
      <c r="H32" s="3"/>
      <c r="I32" s="100"/>
      <c r="J32" s="134">
        <f t="shared" si="5"/>
        <v>35.970208743365681</v>
      </c>
      <c r="K32" s="135">
        <f t="shared" si="0"/>
        <v>0.62779857520138316</v>
      </c>
      <c r="L32" s="135">
        <f t="shared" si="3"/>
        <v>340.02472696721355</v>
      </c>
      <c r="M32" s="135">
        <f t="shared" si="4"/>
        <v>340.78112259396534</v>
      </c>
      <c r="N32" s="135">
        <f t="shared" si="1"/>
        <v>340.3750335610714</v>
      </c>
      <c r="O32" s="136">
        <f t="shared" si="2"/>
        <v>19.975273032786447</v>
      </c>
      <c r="P32" s="137">
        <f t="shared" si="2"/>
        <v>19.218877406034665</v>
      </c>
      <c r="Q32" s="138">
        <f t="shared" si="2"/>
        <v>19.624966438928595</v>
      </c>
      <c r="R32" s="139"/>
      <c r="S32" s="3"/>
      <c r="T32" s="3"/>
    </row>
    <row r="33" spans="1:20" ht="16" customHeight="1">
      <c r="A33" s="3"/>
      <c r="B33" s="3"/>
      <c r="C33" s="3"/>
      <c r="D33" s="3"/>
      <c r="E33" s="3"/>
      <c r="F33" s="3"/>
      <c r="G33" s="3"/>
      <c r="H33" s="3"/>
      <c r="I33" s="100"/>
      <c r="J33" s="134">
        <f t="shared" si="5"/>
        <v>35.945208743365683</v>
      </c>
      <c r="K33" s="135">
        <f t="shared" si="0"/>
        <v>0.6273622428883846</v>
      </c>
      <c r="L33" s="135">
        <f t="shared" si="3"/>
        <v>340.03240738401126</v>
      </c>
      <c r="M33" s="135">
        <f t="shared" si="4"/>
        <v>340.72963264681897</v>
      </c>
      <c r="N33" s="135">
        <f t="shared" si="1"/>
        <v>340.38253955142591</v>
      </c>
      <c r="O33" s="136">
        <f t="shared" si="2"/>
        <v>19.967592615988735</v>
      </c>
      <c r="P33" s="137">
        <f t="shared" si="2"/>
        <v>19.27036735318103</v>
      </c>
      <c r="Q33" s="138">
        <f t="shared" si="2"/>
        <v>19.617460448574093</v>
      </c>
      <c r="R33" s="139"/>
      <c r="S33" s="3"/>
      <c r="T33" s="3"/>
    </row>
    <row r="34" spans="1:20" ht="16" customHeight="1">
      <c r="A34" s="3"/>
      <c r="B34" s="3"/>
      <c r="C34" s="3"/>
      <c r="D34" s="3"/>
      <c r="E34" s="3"/>
      <c r="F34" s="3"/>
      <c r="G34" s="3"/>
      <c r="H34" s="3"/>
      <c r="I34" s="100"/>
      <c r="J34" s="134">
        <f t="shared" si="5"/>
        <v>35.920208743365684</v>
      </c>
      <c r="K34" s="135">
        <f t="shared" si="0"/>
        <v>0.62692591057538605</v>
      </c>
      <c r="L34" s="135">
        <f t="shared" si="3"/>
        <v>340.04006102049209</v>
      </c>
      <c r="M34" s="135">
        <f t="shared" si="4"/>
        <v>340.6785684089146</v>
      </c>
      <c r="N34" s="135">
        <f t="shared" si="1"/>
        <v>340.39001918981216</v>
      </c>
      <c r="O34" s="136">
        <f t="shared" si="2"/>
        <v>19.959938979507911</v>
      </c>
      <c r="P34" s="137">
        <f t="shared" si="2"/>
        <v>19.3214315910854</v>
      </c>
      <c r="Q34" s="138">
        <f t="shared" si="2"/>
        <v>19.609980810187835</v>
      </c>
      <c r="R34" s="139"/>
      <c r="S34" s="3"/>
      <c r="T34" s="3"/>
    </row>
    <row r="35" spans="1:20" ht="16" customHeight="1">
      <c r="A35" s="3"/>
      <c r="B35" s="3"/>
      <c r="C35" s="3"/>
      <c r="D35" s="3"/>
      <c r="E35" s="3"/>
      <c r="F35" s="3"/>
      <c r="G35" s="3"/>
      <c r="H35" s="3"/>
      <c r="I35" s="100"/>
      <c r="J35" s="134">
        <f t="shared" si="5"/>
        <v>35.895208743365686</v>
      </c>
      <c r="K35" s="135">
        <f t="shared" si="0"/>
        <v>0.62648957826238749</v>
      </c>
      <c r="L35" s="135">
        <f t="shared" si="3"/>
        <v>340.04768791853581</v>
      </c>
      <c r="M35" s="135">
        <f t="shared" si="4"/>
        <v>340.62792233626749</v>
      </c>
      <c r="N35" s="135">
        <f t="shared" si="1"/>
        <v>340.39747251695695</v>
      </c>
      <c r="O35" s="136">
        <f t="shared" si="2"/>
        <v>19.952312081464186</v>
      </c>
      <c r="P35" s="137">
        <f t="shared" si="2"/>
        <v>19.372077663732512</v>
      </c>
      <c r="Q35" s="138">
        <f t="shared" si="2"/>
        <v>19.602527483043048</v>
      </c>
      <c r="R35" s="139"/>
      <c r="S35" s="3"/>
      <c r="T35" s="3"/>
    </row>
    <row r="36" spans="1:20">
      <c r="A36" s="3"/>
      <c r="B36" s="3"/>
      <c r="C36" s="3"/>
      <c r="D36" s="3"/>
      <c r="E36" s="3"/>
      <c r="F36" s="3"/>
      <c r="G36" s="3"/>
      <c r="H36" s="3"/>
      <c r="I36" s="100"/>
      <c r="J36" s="134">
        <f>J37+$M$11</f>
        <v>35.870208743365687</v>
      </c>
      <c r="K36" s="135">
        <f t="shared" si="0"/>
        <v>0.62605324594938894</v>
      </c>
      <c r="L36" s="135">
        <f t="shared" si="3"/>
        <v>340.05528811987949</v>
      </c>
      <c r="M36" s="135">
        <f t="shared" si="4"/>
        <v>340.57768711819767</v>
      </c>
      <c r="N36" s="135">
        <f t="shared" si="1"/>
        <v>340.40489957344988</v>
      </c>
      <c r="O36" s="136">
        <f t="shared" si="2"/>
        <v>19.944711880120508</v>
      </c>
      <c r="P36" s="137">
        <f t="shared" si="2"/>
        <v>19.422312881802327</v>
      </c>
      <c r="Q36" s="138">
        <f t="shared" si="2"/>
        <v>19.595100426550118</v>
      </c>
      <c r="R36" s="139"/>
      <c r="S36" s="3"/>
      <c r="T36" s="3"/>
    </row>
    <row r="37" spans="1:20">
      <c r="A37" s="3"/>
      <c r="B37" s="3"/>
      <c r="C37" s="3"/>
      <c r="D37" s="3"/>
      <c r="E37" s="3"/>
      <c r="F37" s="3"/>
      <c r="G37" s="3"/>
      <c r="H37" s="3"/>
      <c r="I37" s="100"/>
      <c r="J37" s="134">
        <f>J38+$M$11</f>
        <v>35.845208743365689</v>
      </c>
      <c r="K37" s="135">
        <f>RADIANS(J37)</f>
        <v>0.62561691363639038</v>
      </c>
      <c r="L37" s="135">
        <f t="shared" si="3"/>
        <v>340.06286166611869</v>
      </c>
      <c r="M37" s="135">
        <f t="shared" si="4"/>
        <v>340.52785566726806</v>
      </c>
      <c r="N37" s="135">
        <f t="shared" si="1"/>
        <v>340.4123003997438</v>
      </c>
      <c r="O37" s="136">
        <f t="shared" si="2"/>
        <v>19.937138333881308</v>
      </c>
      <c r="P37" s="137">
        <f t="shared" si="2"/>
        <v>19.472144332731943</v>
      </c>
      <c r="Q37" s="138">
        <f t="shared" si="2"/>
        <v>19.587699600256201</v>
      </c>
      <c r="R37" s="139"/>
      <c r="S37" s="3"/>
      <c r="T37" s="3"/>
    </row>
    <row r="38" spans="1:20">
      <c r="A38" s="3"/>
      <c r="B38" s="3"/>
      <c r="C38" s="3"/>
      <c r="D38" s="3"/>
      <c r="E38" s="3"/>
      <c r="F38" s="3"/>
      <c r="G38" s="3"/>
      <c r="H38" s="3"/>
      <c r="I38" s="100"/>
      <c r="J38" s="140">
        <f>lat-vb/2</f>
        <v>35.82020874336569</v>
      </c>
      <c r="K38" s="141">
        <f>RADIANS(J38)</f>
        <v>0.62518058132339183</v>
      </c>
      <c r="L38" s="141">
        <f t="shared" si="3"/>
        <v>340.07040859870739</v>
      </c>
      <c r="M38" s="141">
        <f t="shared" si="4"/>
        <v>340.47842110977558</v>
      </c>
      <c r="N38" s="141">
        <f t="shared" si="1"/>
        <v>340.41967503615535</v>
      </c>
      <c r="O38" s="142">
        <f>IF(L38&lt;0,ABS(L38),IF(L38&gt;360,-(L38-360),IF(AND(L38&gt;180,L38&lt;360),360-L38,-L38)))</f>
        <v>19.929591401292612</v>
      </c>
      <c r="P38" s="143">
        <f t="shared" si="2"/>
        <v>19.521578890224419</v>
      </c>
      <c r="Q38" s="144">
        <f t="shared" si="2"/>
        <v>19.580324963844646</v>
      </c>
      <c r="R38" s="139"/>
      <c r="S38" s="3"/>
      <c r="T38" s="3"/>
    </row>
    <row r="39" spans="1:20">
      <c r="A39" s="3"/>
      <c r="B39" s="3"/>
      <c r="C39" s="3"/>
      <c r="D39" s="3"/>
      <c r="E39" s="3"/>
      <c r="F39" s="3"/>
      <c r="G39" s="3"/>
      <c r="H39" s="3"/>
      <c r="I39" s="100"/>
      <c r="J39" s="134">
        <f t="shared" ref="J39:J58" si="6">J38-$M$11</f>
        <v>35.795208743365691</v>
      </c>
      <c r="K39" s="135">
        <f t="shared" si="0"/>
        <v>0.62474424901039327</v>
      </c>
      <c r="L39" s="135">
        <f t="shared" si="3"/>
        <v>340.07792895895921</v>
      </c>
      <c r="M39" s="135">
        <f t="shared" si="4"/>
        <v>340.42937677675832</v>
      </c>
      <c r="N39" s="135">
        <f t="shared" si="1"/>
        <v>340.42702352286551</v>
      </c>
      <c r="O39" s="136">
        <f t="shared" si="2"/>
        <v>19.922071041040795</v>
      </c>
      <c r="P39" s="137">
        <f t="shared" si="2"/>
        <v>19.570623223241682</v>
      </c>
      <c r="Q39" s="138">
        <f t="shared" si="2"/>
        <v>19.572976477134489</v>
      </c>
      <c r="R39" s="139"/>
      <c r="S39" s="3"/>
      <c r="T39" s="3"/>
    </row>
    <row r="40" spans="1:20">
      <c r="A40" s="3"/>
      <c r="B40" s="3"/>
      <c r="C40" s="3"/>
      <c r="D40" s="3"/>
      <c r="E40" s="3"/>
      <c r="F40" s="3"/>
      <c r="G40" s="3"/>
      <c r="H40" s="3"/>
      <c r="I40" s="100"/>
      <c r="J40" s="134">
        <f t="shared" si="6"/>
        <v>35.770208743365693</v>
      </c>
      <c r="K40" s="135">
        <f t="shared" si="0"/>
        <v>0.62430791669739472</v>
      </c>
      <c r="L40" s="135">
        <f t="shared" si="3"/>
        <v>340.08542278804714</v>
      </c>
      <c r="M40" s="135">
        <f t="shared" si="4"/>
        <v>340.38071619548572</v>
      </c>
      <c r="N40" s="135">
        <f t="shared" si="1"/>
        <v>340.43434589992006</v>
      </c>
      <c r="O40" s="136">
        <f t="shared" si="2"/>
        <v>19.91457721195286</v>
      </c>
      <c r="P40" s="137">
        <f t="shared" si="2"/>
        <v>19.619283804514282</v>
      </c>
      <c r="Q40" s="138">
        <f t="shared" si="2"/>
        <v>19.565654100079939</v>
      </c>
      <c r="R40" s="139"/>
      <c r="S40" s="3"/>
      <c r="T40" s="3"/>
    </row>
    <row r="41" spans="1:20">
      <c r="A41" s="3"/>
      <c r="B41" s="3"/>
      <c r="C41" s="3"/>
      <c r="D41" s="3"/>
      <c r="E41" s="3"/>
      <c r="F41" s="3"/>
      <c r="G41" s="3"/>
      <c r="H41" s="3"/>
      <c r="I41" s="100"/>
      <c r="J41" s="134">
        <f t="shared" si="6"/>
        <v>35.745208743365694</v>
      </c>
      <c r="K41" s="135">
        <f t="shared" si="0"/>
        <v>0.62387158438439616</v>
      </c>
      <c r="L41" s="135">
        <f t="shared" si="3"/>
        <v>340.09289012700481</v>
      </c>
      <c r="M41" s="135">
        <f t="shared" si="4"/>
        <v>340.33243308139839</v>
      </c>
      <c r="N41" s="135">
        <f t="shared" si="1"/>
        <v>340.44164220723025</v>
      </c>
      <c r="O41" s="136">
        <f t="shared" ref="O41:Q58" si="7">IF(L41&lt;0,ABS(L41),IF(L41&gt;360,-(L41-360),IF(AND(L41&gt;180,L41&lt;360),360-L41,-L41)))</f>
        <v>19.907109872995193</v>
      </c>
      <c r="P41" s="137">
        <f t="shared" si="7"/>
        <v>19.667566918601608</v>
      </c>
      <c r="Q41" s="138">
        <f t="shared" si="7"/>
        <v>19.558357792769755</v>
      </c>
      <c r="R41" s="139"/>
      <c r="S41" s="3"/>
      <c r="T41" s="3"/>
    </row>
    <row r="42" spans="1:20">
      <c r="A42" s="3"/>
      <c r="B42" s="3"/>
      <c r="C42" s="3"/>
      <c r="D42" s="3"/>
      <c r="E42" s="3"/>
      <c r="F42" s="3"/>
      <c r="G42" s="3"/>
      <c r="H42" s="3"/>
      <c r="I42" s="61"/>
      <c r="J42" s="134">
        <f t="shared" si="6"/>
        <v>35.720208743365696</v>
      </c>
      <c r="K42" s="135">
        <f t="shared" si="0"/>
        <v>0.62343525207139761</v>
      </c>
      <c r="L42" s="135">
        <f t="shared" si="3"/>
        <v>340.10033101672667</v>
      </c>
      <c r="M42" s="135">
        <f t="shared" si="4"/>
        <v>340.2845213304717</v>
      </c>
      <c r="N42" s="135">
        <f t="shared" si="1"/>
        <v>340.44891248457316</v>
      </c>
      <c r="O42" s="136">
        <f t="shared" si="7"/>
        <v>19.89966898327333</v>
      </c>
      <c r="P42" s="137">
        <f t="shared" si="7"/>
        <v>19.715478669528295</v>
      </c>
      <c r="Q42" s="138">
        <f t="shared" si="7"/>
        <v>19.551087515426843</v>
      </c>
      <c r="R42" s="139"/>
      <c r="S42" s="3"/>
      <c r="T42" s="3"/>
    </row>
    <row r="43" spans="1:20">
      <c r="A43" s="3"/>
      <c r="B43" s="3"/>
      <c r="C43" s="3"/>
      <c r="D43" s="3"/>
      <c r="E43" s="3"/>
      <c r="F43" s="3"/>
      <c r="G43" s="3"/>
      <c r="H43" s="3"/>
      <c r="I43" s="100"/>
      <c r="J43" s="134">
        <f t="shared" si="6"/>
        <v>35.695208743365697</v>
      </c>
      <c r="K43" s="135">
        <f t="shared" si="0"/>
        <v>0.62299891975839905</v>
      </c>
      <c r="L43" s="135">
        <f t="shared" ref="L43:L58" si="8">IFERROR(DEGREES(grt+IF(B="W",-1,1)*ACOS((SIN(h)-SIN(d)*SIN(K43))/COS(d)/COS(K43))),#N/A)</f>
        <v>340.10774549796866</v>
      </c>
      <c r="M43" s="135">
        <f t="shared" si="4"/>
        <v>340.23697501197341</v>
      </c>
      <c r="N43" s="135">
        <f t="shared" si="1"/>
        <v>340.45615677159225</v>
      </c>
      <c r="O43" s="136">
        <f t="shared" si="7"/>
        <v>19.892254502031335</v>
      </c>
      <c r="P43" s="137">
        <f t="shared" si="7"/>
        <v>19.763024988026586</v>
      </c>
      <c r="Q43" s="138">
        <f t="shared" si="7"/>
        <v>19.543843228407752</v>
      </c>
      <c r="R43" s="139"/>
      <c r="S43" s="3"/>
      <c r="T43" s="3"/>
    </row>
    <row r="44" spans="1:20">
      <c r="A44" s="3"/>
      <c r="B44" s="3"/>
      <c r="C44" s="3"/>
      <c r="D44" s="3"/>
      <c r="E44" s="3"/>
      <c r="F44" s="3"/>
      <c r="G44" s="3"/>
      <c r="H44" s="3"/>
      <c r="I44" s="100"/>
      <c r="J44" s="134">
        <f t="shared" si="6"/>
        <v>35.670208743365698</v>
      </c>
      <c r="K44" s="135">
        <f t="shared" si="0"/>
        <v>0.62256258744540049</v>
      </c>
      <c r="L44" s="135">
        <f t="shared" si="8"/>
        <v>340.11513361134871</v>
      </c>
      <c r="M44" s="135">
        <f t="shared" si="4"/>
        <v>340.1897883615926</v>
      </c>
      <c r="N44" s="135">
        <f t="shared" si="1"/>
        <v>340.4633751077979</v>
      </c>
      <c r="O44" s="136">
        <f t="shared" si="7"/>
        <v>19.88486638865129</v>
      </c>
      <c r="P44" s="137">
        <f t="shared" si="7"/>
        <v>19.810211638407395</v>
      </c>
      <c r="Q44" s="138">
        <f t="shared" si="7"/>
        <v>19.536624892202099</v>
      </c>
      <c r="R44" s="139"/>
      <c r="S44" s="3"/>
      <c r="T44" s="3"/>
    </row>
    <row r="45" spans="1:20">
      <c r="A45" s="3"/>
      <c r="B45" s="3"/>
      <c r="C45" s="3"/>
      <c r="D45" s="3"/>
      <c r="E45" s="3"/>
      <c r="F45" s="3"/>
      <c r="G45" s="3"/>
      <c r="H45" s="3"/>
      <c r="I45" s="100"/>
      <c r="J45" s="134">
        <f t="shared" si="6"/>
        <v>35.6452087433657</v>
      </c>
      <c r="K45" s="135">
        <f t="shared" si="0"/>
        <v>0.62212625513240194</v>
      </c>
      <c r="L45" s="135">
        <f t="shared" si="8"/>
        <v>340.12249539734694</v>
      </c>
      <c r="M45" s="135">
        <f t="shared" si="4"/>
        <v>340.14295577491629</v>
      </c>
      <c r="N45" s="135">
        <f t="shared" si="1"/>
        <v>340.47056753256783</v>
      </c>
      <c r="O45" s="136">
        <f t="shared" si="7"/>
        <v>19.877504602653062</v>
      </c>
      <c r="P45" s="137">
        <f t="shared" si="7"/>
        <v>19.857044225083712</v>
      </c>
      <c r="Q45" s="138">
        <f t="shared" si="7"/>
        <v>19.529432467432173</v>
      </c>
      <c r="R45" s="139"/>
      <c r="S45" s="3"/>
      <c r="T45" s="3"/>
    </row>
    <row r="46" spans="1:20">
      <c r="A46" s="3"/>
      <c r="B46" s="3"/>
      <c r="C46" s="3"/>
      <c r="D46" s="3"/>
      <c r="E46" s="3"/>
      <c r="F46" s="3"/>
      <c r="G46" s="3"/>
      <c r="H46" s="3"/>
      <c r="I46" s="100"/>
      <c r="J46" s="134">
        <f t="shared" si="6"/>
        <v>35.620208743365701</v>
      </c>
      <c r="K46" s="135">
        <f t="shared" si="0"/>
        <v>0.62168992281940338</v>
      </c>
      <c r="L46" s="135">
        <f t="shared" si="8"/>
        <v>340.12983089630688</v>
      </c>
      <c r="M46" s="135">
        <f t="shared" si="4"/>
        <v>340.09647180123159</v>
      </c>
      <c r="N46" s="135">
        <f t="shared" si="1"/>
        <v>340.47773408514774</v>
      </c>
      <c r="O46" s="136">
        <f t="shared" si="7"/>
        <v>19.870169103693115</v>
      </c>
      <c r="P46" s="137">
        <f t="shared" si="7"/>
        <v>19.903528198768413</v>
      </c>
      <c r="Q46" s="138">
        <f t="shared" si="7"/>
        <v>19.522265914852255</v>
      </c>
      <c r="R46" s="139"/>
      <c r="S46" s="3"/>
      <c r="T46" s="3"/>
    </row>
    <row r="47" spans="1:20">
      <c r="A47" s="3"/>
      <c r="B47" s="3"/>
      <c r="C47" s="3"/>
      <c r="D47" s="3"/>
      <c r="E47" s="3"/>
      <c r="F47" s="3"/>
      <c r="G47" s="3"/>
      <c r="H47" s="3"/>
      <c r="I47" s="100"/>
      <c r="J47" s="134">
        <f t="shared" si="6"/>
        <v>35.595208743365703</v>
      </c>
      <c r="K47" s="135">
        <f t="shared" si="0"/>
        <v>0.62125359050640483</v>
      </c>
      <c r="L47" s="135">
        <f t="shared" si="8"/>
        <v>340.13714014843555</v>
      </c>
      <c r="M47" s="135">
        <f t="shared" si="4"/>
        <v>340.05033113763568</v>
      </c>
      <c r="N47" s="135">
        <f t="shared" si="1"/>
        <v>340.48487480465184</v>
      </c>
      <c r="O47" s="136">
        <f t="shared" si="7"/>
        <v>19.862859851564451</v>
      </c>
      <c r="P47" s="137">
        <f t="shared" si="7"/>
        <v>19.949668862364319</v>
      </c>
      <c r="Q47" s="138">
        <f t="shared" si="7"/>
        <v>19.515125195348162</v>
      </c>
      <c r="R47" s="139"/>
      <c r="S47" s="3"/>
      <c r="T47" s="3"/>
    </row>
    <row r="48" spans="1:20">
      <c r="A48" s="3"/>
      <c r="B48" s="3"/>
      <c r="C48" s="3"/>
      <c r="D48" s="3"/>
      <c r="E48" s="3"/>
      <c r="F48" s="3"/>
      <c r="G48" s="3"/>
      <c r="H48" s="3"/>
      <c r="I48" s="100"/>
      <c r="J48" s="134">
        <f t="shared" si="6"/>
        <v>35.570208743365704</v>
      </c>
      <c r="K48" s="135">
        <f t="shared" si="0"/>
        <v>0.62081725819340627</v>
      </c>
      <c r="L48" s="135">
        <f t="shared" si="8"/>
        <v>340.14442319380373</v>
      </c>
      <c r="M48" s="135">
        <f t="shared" si="4"/>
        <v>340.00452862343292</v>
      </c>
      <c r="N48" s="135">
        <f t="shared" si="1"/>
        <v>340.49198973006293</v>
      </c>
      <c r="O48" s="136">
        <f t="shared" si="7"/>
        <v>19.855576806196268</v>
      </c>
      <c r="P48" s="137">
        <f t="shared" si="7"/>
        <v>19.995471376567082</v>
      </c>
      <c r="Q48" s="138">
        <f t="shared" si="7"/>
        <v>19.508010269937074</v>
      </c>
      <c r="R48" s="139"/>
      <c r="S48" s="3"/>
      <c r="T48" s="3"/>
    </row>
    <row r="49" spans="1:20">
      <c r="A49" s="3"/>
      <c r="B49" s="3"/>
      <c r="C49" s="3"/>
      <c r="D49" s="3"/>
      <c r="E49" s="3"/>
      <c r="F49" s="3"/>
      <c r="G49" s="3"/>
      <c r="H49" s="3"/>
      <c r="I49" s="100"/>
      <c r="J49" s="134">
        <f t="shared" si="6"/>
        <v>35.545208743365706</v>
      </c>
      <c r="K49" s="135">
        <f t="shared" si="0"/>
        <v>0.62038092588040772</v>
      </c>
      <c r="L49" s="135">
        <f t="shared" si="8"/>
        <v>340.15168007234729</v>
      </c>
      <c r="M49" s="135">
        <f t="shared" si="4"/>
        <v>339.95905923480382</v>
      </c>
      <c r="N49" s="135">
        <f t="shared" si="1"/>
        <v>340.49907890023354</v>
      </c>
      <c r="O49" s="136">
        <f t="shared" si="7"/>
        <v>19.84831992765271</v>
      </c>
      <c r="P49" s="137">
        <f t="shared" si="7"/>
        <v>20.040940765196183</v>
      </c>
      <c r="Q49" s="138">
        <f t="shared" si="7"/>
        <v>19.500921099766458</v>
      </c>
      <c r="R49" s="139"/>
      <c r="S49" s="3"/>
      <c r="T49" s="3"/>
    </row>
    <row r="50" spans="1:20">
      <c r="A50" s="3"/>
      <c r="B50" s="3"/>
      <c r="C50" s="3"/>
      <c r="D50" s="3"/>
      <c r="E50" s="3"/>
      <c r="F50" s="3"/>
      <c r="G50" s="3"/>
      <c r="H50" s="3"/>
      <c r="I50" s="100"/>
      <c r="J50" s="134">
        <f t="shared" si="6"/>
        <v>35.520208743365707</v>
      </c>
      <c r="K50" s="135">
        <f t="shared" si="0"/>
        <v>0.61994459356740916</v>
      </c>
      <c r="L50" s="135">
        <f t="shared" si="8"/>
        <v>340.15891082386673</v>
      </c>
      <c r="M50" s="135">
        <f t="shared" si="4"/>
        <v>339.91391807972849</v>
      </c>
      <c r="N50" s="135">
        <f t="shared" si="1"/>
        <v>340.50614235388588</v>
      </c>
      <c r="O50" s="136">
        <f t="shared" si="7"/>
        <v>19.841089176133266</v>
      </c>
      <c r="P50" s="137">
        <f t="shared" si="7"/>
        <v>20.086081920271511</v>
      </c>
      <c r="Q50" s="138">
        <f t="shared" si="7"/>
        <v>19.493857646114122</v>
      </c>
      <c r="R50" s="139"/>
      <c r="S50" s="3"/>
      <c r="T50" s="3"/>
    </row>
    <row r="51" spans="1:20">
      <c r="A51" s="3"/>
      <c r="B51" s="3"/>
      <c r="C51" s="3"/>
      <c r="D51" s="3"/>
      <c r="E51" s="3"/>
      <c r="F51" s="3"/>
      <c r="G51" s="3"/>
      <c r="H51" s="3"/>
      <c r="I51" s="100"/>
      <c r="J51" s="134">
        <f t="shared" si="6"/>
        <v>35.495208743365708</v>
      </c>
      <c r="K51" s="135">
        <f t="shared" si="0"/>
        <v>0.61950826125441061</v>
      </c>
      <c r="L51" s="135">
        <f t="shared" si="8"/>
        <v>340.16611548802859</v>
      </c>
      <c r="M51" s="135">
        <f t="shared" si="4"/>
        <v>339.8691003931516</v>
      </c>
      <c r="N51" s="135">
        <f t="shared" si="1"/>
        <v>340.51318012961264</v>
      </c>
      <c r="O51" s="136">
        <f t="shared" si="7"/>
        <v>19.833884511971405</v>
      </c>
      <c r="P51" s="137">
        <f t="shared" si="7"/>
        <v>20.130899606848402</v>
      </c>
      <c r="Q51" s="138">
        <f t="shared" si="7"/>
        <v>19.486819870387365</v>
      </c>
      <c r="R51" s="139"/>
      <c r="S51" s="3"/>
      <c r="T51" s="3"/>
    </row>
    <row r="52" spans="1:20">
      <c r="A52" s="3"/>
      <c r="B52" s="3"/>
      <c r="C52" s="3"/>
      <c r="D52" s="3"/>
      <c r="E52" s="3"/>
      <c r="F52" s="3"/>
      <c r="G52" s="3"/>
      <c r="H52" s="3"/>
      <c r="I52" s="100"/>
      <c r="J52" s="134">
        <f t="shared" si="6"/>
        <v>35.47020874336571</v>
      </c>
      <c r="K52" s="135">
        <f t="shared" si="0"/>
        <v>0.61907192894141205</v>
      </c>
      <c r="L52" s="135">
        <f t="shared" si="8"/>
        <v>340.17329410436514</v>
      </c>
      <c r="M52" s="135">
        <f t="shared" si="4"/>
        <v>339.82460153237321</v>
      </c>
      <c r="N52" s="135">
        <f t="shared" si="1"/>
        <v>340.52019226587743</v>
      </c>
      <c r="O52" s="136">
        <f t="shared" si="7"/>
        <v>19.826705895634859</v>
      </c>
      <c r="P52" s="137">
        <f t="shared" si="7"/>
        <v>20.175398467626792</v>
      </c>
      <c r="Q52" s="138">
        <f t="shared" si="7"/>
        <v>19.479807734122573</v>
      </c>
      <c r="R52" s="139"/>
      <c r="S52" s="3"/>
      <c r="T52" s="3"/>
    </row>
    <row r="53" spans="1:20">
      <c r="A53" s="3"/>
      <c r="B53" s="3"/>
      <c r="C53" s="3"/>
      <c r="D53" s="3"/>
      <c r="E53" s="3"/>
      <c r="F53" s="3"/>
      <c r="G53" s="3"/>
      <c r="H53" s="3"/>
      <c r="I53" s="100"/>
      <c r="J53" s="134">
        <f t="shared" si="6"/>
        <v>35.445208743365711</v>
      </c>
      <c r="K53" s="135">
        <f t="shared" si="0"/>
        <v>0.6186355966284135</v>
      </c>
      <c r="L53" s="135">
        <f t="shared" si="8"/>
        <v>340.18044671227574</v>
      </c>
      <c r="M53" s="135">
        <f t="shared" si="4"/>
        <v>339.78041697265326</v>
      </c>
      <c r="N53" s="135">
        <f t="shared" si="1"/>
        <v>340.52717880101505</v>
      </c>
      <c r="O53" s="136">
        <f t="shared" si="7"/>
        <v>19.819553287724261</v>
      </c>
      <c r="P53" s="137">
        <f t="shared" si="7"/>
        <v>20.219583027346744</v>
      </c>
      <c r="Q53" s="138">
        <f t="shared" si="7"/>
        <v>19.472821198984946</v>
      </c>
      <c r="R53" s="139"/>
      <c r="S53" s="3"/>
      <c r="T53" s="3"/>
    </row>
    <row r="54" spans="1:20">
      <c r="A54" s="3"/>
      <c r="B54" s="3"/>
      <c r="C54" s="3"/>
      <c r="D54" s="3"/>
      <c r="E54" s="3"/>
      <c r="F54" s="3"/>
      <c r="G54" s="3"/>
      <c r="H54" s="3"/>
      <c r="I54" s="100"/>
      <c r="J54" s="134">
        <f t="shared" si="6"/>
        <v>35.420208743365713</v>
      </c>
      <c r="K54" s="135">
        <f t="shared" si="0"/>
        <v>0.61819926431541494</v>
      </c>
      <c r="L54" s="135">
        <f t="shared" si="8"/>
        <v>340.18757335102657</v>
      </c>
      <c r="M54" s="135">
        <f t="shared" si="4"/>
        <v>339.7365423030185</v>
      </c>
      <c r="N54" s="135">
        <f t="shared" si="1"/>
        <v>340.5341397732322</v>
      </c>
      <c r="O54" s="136">
        <f t="shared" si="7"/>
        <v>19.812426648973428</v>
      </c>
      <c r="P54" s="137">
        <f t="shared" si="7"/>
        <v>20.263457696981504</v>
      </c>
      <c r="Q54" s="138">
        <f t="shared" si="7"/>
        <v>19.465860226767802</v>
      </c>
      <c r="R54" s="139"/>
      <c r="S54" s="3"/>
      <c r="T54" s="3"/>
    </row>
    <row r="55" spans="1:20">
      <c r="A55" s="3"/>
      <c r="B55" s="3"/>
      <c r="C55" s="3"/>
      <c r="D55" s="3"/>
      <c r="E55" s="3"/>
      <c r="F55" s="3"/>
      <c r="G55" s="3"/>
      <c r="H55" s="3"/>
      <c r="I55" s="100"/>
      <c r="J55" s="134">
        <f t="shared" si="6"/>
        <v>35.395208743365714</v>
      </c>
      <c r="K55" s="135">
        <f t="shared" si="0"/>
        <v>0.61776293200241639</v>
      </c>
      <c r="L55" s="135">
        <f t="shared" si="8"/>
        <v>340.19467405975161</v>
      </c>
      <c r="M55" s="135">
        <f t="shared" si="4"/>
        <v>339.6929732222593</v>
      </c>
      <c r="N55" s="135">
        <f t="shared" si="1"/>
        <v>340.54107522060792</v>
      </c>
      <c r="O55" s="136">
        <f t="shared" si="7"/>
        <v>19.805325940248395</v>
      </c>
      <c r="P55" s="137">
        <f t="shared" si="7"/>
        <v>20.307026777740703</v>
      </c>
      <c r="Q55" s="138">
        <f t="shared" si="7"/>
        <v>19.458924779392078</v>
      </c>
      <c r="R55" s="139"/>
      <c r="S55" s="3"/>
      <c r="T55" s="3"/>
    </row>
    <row r="56" spans="1:20">
      <c r="A56" s="3"/>
      <c r="B56" s="3"/>
      <c r="C56" s="3"/>
      <c r="D56" s="3"/>
      <c r="E56" s="3"/>
      <c r="F56" s="3"/>
      <c r="G56" s="3"/>
      <c r="H56" s="3"/>
      <c r="I56" s="100"/>
      <c r="J56" s="134">
        <f t="shared" si="6"/>
        <v>35.370208743365716</v>
      </c>
      <c r="K56" s="135">
        <f t="shared" si="0"/>
        <v>0.61732659968941783</v>
      </c>
      <c r="L56" s="135">
        <f t="shared" si="8"/>
        <v>340.20174887745293</v>
      </c>
      <c r="M56" s="135">
        <f t="shared" si="4"/>
        <v>339.6497055351071</v>
      </c>
      <c r="N56" s="135">
        <f t="shared" si="1"/>
        <v>340.54798518109413</v>
      </c>
      <c r="O56" s="136">
        <f t="shared" si="7"/>
        <v>19.798251122547072</v>
      </c>
      <c r="P56" s="137">
        <f t="shared" si="7"/>
        <v>20.350294464892897</v>
      </c>
      <c r="Q56" s="138">
        <f t="shared" si="7"/>
        <v>19.452014818905866</v>
      </c>
      <c r="R56" s="139"/>
      <c r="S56" s="3"/>
      <c r="T56" s="3"/>
    </row>
    <row r="57" spans="1:20">
      <c r="A57" s="3"/>
      <c r="B57" s="3"/>
      <c r="C57" s="3"/>
      <c r="D57" s="3"/>
      <c r="E57" s="3"/>
      <c r="F57" s="3"/>
      <c r="G57" s="3"/>
      <c r="H57" s="3"/>
      <c r="I57" s="100"/>
      <c r="J57" s="134">
        <f t="shared" si="6"/>
        <v>35.345208743365717</v>
      </c>
      <c r="K57" s="135">
        <f t="shared" si="0"/>
        <v>0.61689026737641928</v>
      </c>
      <c r="L57" s="135">
        <f t="shared" si="8"/>
        <v>340.20879784300143</v>
      </c>
      <c r="M57" s="135">
        <f t="shared" si="4"/>
        <v>339.60673514858149</v>
      </c>
      <c r="N57" s="135">
        <f t="shared" si="1"/>
        <v>340.55486969251598</v>
      </c>
      <c r="O57" s="136">
        <f t="shared" si="7"/>
        <v>19.791202156998565</v>
      </c>
      <c r="P57" s="137">
        <f t="shared" si="7"/>
        <v>20.393264851418508</v>
      </c>
      <c r="Q57" s="138">
        <f t="shared" si="7"/>
        <v>19.445130307484021</v>
      </c>
      <c r="R57" s="139"/>
      <c r="S57" s="3"/>
      <c r="T57" s="3"/>
    </row>
    <row r="58" spans="1:20" ht="17" thickBot="1">
      <c r="A58" s="3"/>
      <c r="B58" s="3"/>
      <c r="C58" s="3"/>
      <c r="D58" s="3"/>
      <c r="E58" s="3"/>
      <c r="F58" s="3"/>
      <c r="G58" s="3"/>
      <c r="H58" s="3"/>
      <c r="I58" s="100"/>
      <c r="J58" s="134">
        <f t="shared" si="6"/>
        <v>35.320208743365718</v>
      </c>
      <c r="K58" s="135">
        <f t="shared" si="0"/>
        <v>0.61645393506342072</v>
      </c>
      <c r="L58" s="135">
        <f t="shared" si="8"/>
        <v>340.21582099513688</v>
      </c>
      <c r="M58" s="135">
        <f t="shared" si="4"/>
        <v>339.56405806849864</v>
      </c>
      <c r="N58" s="135">
        <f t="shared" si="1"/>
        <v>340.56172879257207</v>
      </c>
      <c r="O58" s="136">
        <f t="shared" si="7"/>
        <v>19.78417900486312</v>
      </c>
      <c r="P58" s="137">
        <f t="shared" si="7"/>
        <v>20.435941931501361</v>
      </c>
      <c r="Q58" s="138">
        <f t="shared" si="7"/>
        <v>19.438271207427931</v>
      </c>
      <c r="R58" s="145"/>
      <c r="S58" s="3"/>
      <c r="T58" s="3"/>
    </row>
    <row r="59" spans="1:20">
      <c r="A59" s="3"/>
      <c r="B59" s="3"/>
      <c r="C59" s="3"/>
      <c r="D59" s="3"/>
      <c r="E59" s="3"/>
      <c r="F59" s="3"/>
      <c r="G59" s="3"/>
      <c r="H59" s="3"/>
      <c r="I59" s="100"/>
      <c r="J59" s="146">
        <f>J60-vb</f>
        <v>35.846255970015726</v>
      </c>
      <c r="K59" s="147"/>
      <c r="L59" s="148"/>
      <c r="M59" s="149"/>
      <c r="N59" s="149"/>
      <c r="O59" s="150"/>
      <c r="P59" s="151"/>
      <c r="Q59" s="152"/>
      <c r="R59" s="153">
        <f>R60-vl</f>
        <v>19.936907660848675</v>
      </c>
      <c r="S59" s="3"/>
      <c r="T59" s="3"/>
    </row>
    <row r="60" spans="1:20" ht="17" thickBot="1">
      <c r="A60" s="3"/>
      <c r="B60" s="3"/>
      <c r="C60" s="3"/>
      <c r="D60" s="3"/>
      <c r="E60" s="3"/>
      <c r="F60" s="3"/>
      <c r="G60" s="3"/>
      <c r="H60" s="3"/>
      <c r="I60" s="100"/>
      <c r="J60" s="154">
        <f>lat</f>
        <v>35.794161516715647</v>
      </c>
      <c r="K60" s="155"/>
      <c r="L60" s="155"/>
      <c r="M60" s="156"/>
      <c r="N60" s="156"/>
      <c r="O60" s="157"/>
      <c r="P60" s="158"/>
      <c r="Q60" s="159"/>
      <c r="R60" s="160">
        <f>lon</f>
        <v>19.572669225930113</v>
      </c>
      <c r="S60" s="3"/>
      <c r="T60" s="3"/>
    </row>
  </sheetData>
  <sheetProtection algorithmName="SHA-512" hashValue="SZUiOklXd19FhR5gG2MeHv7YIN5HiMSvv5fkMh3JM4ah9r7OQNCgmt4H27XLz3Abcf5DTkbaqCB3SDOjZ88q2Q==" saltValue="yf2nl3gxtmEjR5k3tFLWGg==" spinCount="100000" sheet="1" objects="1" scenarios="1" selectLockedCells="1" selectUnlockedCells="1"/>
  <mergeCells count="5">
    <mergeCell ref="F2:H2"/>
    <mergeCell ref="J7:L7"/>
    <mergeCell ref="J8:L8"/>
    <mergeCell ref="J9:L9"/>
    <mergeCell ref="J10:L10"/>
  </mergeCells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D8222-9834-FD46-ABE7-86E1E4C4E4B4}">
  <dimension ref="B1:AE197"/>
  <sheetViews>
    <sheetView showGridLines="0" showRowColHeaders="0" workbookViewId="0">
      <selection activeCell="H32" sqref="H32"/>
    </sheetView>
  </sheetViews>
  <sheetFormatPr baseColWidth="10" defaultRowHeight="16"/>
  <cols>
    <col min="1" max="1" width="4.83203125" customWidth="1"/>
    <col min="11" max="11" width="10.83203125" customWidth="1"/>
    <col min="26" max="26" width="5.5" customWidth="1"/>
  </cols>
  <sheetData>
    <row r="1" spans="2:31" ht="17" thickBot="1"/>
    <row r="2" spans="2:31" ht="23" customHeight="1" thickBot="1">
      <c r="B2" s="307" t="s">
        <v>136</v>
      </c>
      <c r="C2" s="3"/>
      <c r="D2" s="3"/>
      <c r="E2" s="3"/>
      <c r="F2" s="3"/>
      <c r="G2" s="3"/>
      <c r="H2" s="408" t="s">
        <v>54</v>
      </c>
      <c r="I2" s="409"/>
      <c r="J2" s="410"/>
      <c r="K2" s="100"/>
    </row>
    <row r="3" spans="2:31" ht="16" customHeight="1"/>
    <row r="4" spans="2:31" ht="16" customHeight="1"/>
    <row r="5" spans="2:31" ht="20" customHeight="1" thickBot="1">
      <c r="M5" s="226" t="s">
        <v>137</v>
      </c>
      <c r="AA5" s="226" t="s">
        <v>123</v>
      </c>
      <c r="AB5" s="227"/>
      <c r="AC5" s="227"/>
      <c r="AD5" s="227"/>
      <c r="AE5" s="227"/>
    </row>
    <row r="6" spans="2:31" ht="19" thickBot="1">
      <c r="M6" s="207" t="s">
        <v>64</v>
      </c>
      <c r="N6" s="208" t="s">
        <v>113</v>
      </c>
      <c r="O6" s="209" t="s">
        <v>114</v>
      </c>
      <c r="P6" s="210" t="s">
        <v>115</v>
      </c>
      <c r="Q6" s="211" t="s">
        <v>116</v>
      </c>
      <c r="R6" s="211" t="s">
        <v>117</v>
      </c>
      <c r="S6" s="211" t="s">
        <v>118</v>
      </c>
      <c r="T6" s="212" t="s">
        <v>119</v>
      </c>
      <c r="U6" s="212" t="s">
        <v>120</v>
      </c>
      <c r="V6" s="212" t="s">
        <v>121</v>
      </c>
      <c r="W6" s="212" t="s">
        <v>122</v>
      </c>
      <c r="X6" s="212" t="s">
        <v>139</v>
      </c>
      <c r="Y6" s="213" t="s">
        <v>142</v>
      </c>
      <c r="AA6" s="228"/>
      <c r="AB6" s="229"/>
      <c r="AC6" s="230"/>
      <c r="AD6" s="231" t="s">
        <v>124</v>
      </c>
      <c r="AE6" s="232">
        <f>MAX(L8:L9)</f>
        <v>56.214284919562225</v>
      </c>
    </row>
    <row r="7" spans="2:31" ht="17" thickBot="1">
      <c r="M7" s="285"/>
      <c r="N7" s="286">
        <f>IF(MIN(L8:L9)=0,MAX(L8:L9)+1,MIN(L8:L9)+(add+2)*(step+0.0001))</f>
        <v>57.037676998025724</v>
      </c>
      <c r="O7" s="216"/>
      <c r="P7" s="214"/>
      <c r="Q7" s="215"/>
      <c r="R7" s="215"/>
      <c r="S7" s="216"/>
      <c r="T7" s="217"/>
      <c r="U7" s="218"/>
      <c r="V7" s="218"/>
      <c r="W7" s="270"/>
      <c r="X7" s="283"/>
      <c r="Y7" s="284"/>
      <c r="AA7" s="233"/>
      <c r="AB7" s="234"/>
      <c r="AC7" s="235"/>
      <c r="AD7" s="236" t="s">
        <v>125</v>
      </c>
      <c r="AE7" s="237">
        <f>MIN(L192:L193)</f>
        <v>-11.941054662610044</v>
      </c>
    </row>
    <row r="8" spans="2:31">
      <c r="L8" s="224">
        <f>IFERROR(90-DEGREES(h)+DEGREES(d)-0.01,0)</f>
        <v>56.214284919562225</v>
      </c>
      <c r="M8" s="287">
        <f>IF(N8&gt;maxn,maxn,IF(N8&lt;mins,mins,N8))</f>
        <v>56.214284919562225</v>
      </c>
      <c r="N8" s="288">
        <f>N7-step</f>
        <v>56.654385469158136</v>
      </c>
      <c r="O8" s="289">
        <f>RADIANS(M8)</f>
        <v>0.98112435850055657</v>
      </c>
      <c r="P8" s="219">
        <f>IFERROR(DEGREES(grt+ACOS((SIN(h)-SIN(d)*SIN(O8))/COS(d)/COS(O8))),#N/A)</f>
        <v>305.18814175843056</v>
      </c>
      <c r="Q8" s="219">
        <f>IFERROR(DEGREES(grt-ACOS((SIN(h)-SIN(d)*SIN(O8))/COS(d)/COS(O8))),#N/A)</f>
        <v>302.95501773285088</v>
      </c>
      <c r="R8" s="219" t="e">
        <f t="shared" ref="R8:R39" si="0">IFERROR(DEGREES(grt_+ACOS((SIN(h_)-SIN(d_)*SIN(O8))/COS(d_)/COS(O8))),#N/A)</f>
        <v>#N/A</v>
      </c>
      <c r="S8" s="220" t="e">
        <f t="shared" ref="S8:S39" si="1">IFERROR(DEGREES(grt_-ACOS((SIN(h_)-SIN(d_)*SIN(O8))/COS(d_)/COS(O8))),#N/A)</f>
        <v>#N/A</v>
      </c>
      <c r="T8" s="221">
        <f>IF(P8&lt;0,ABS(P8),IF(P8&gt;360,-(P8-360),IF(AND(P8&gt;180,P8&lt;360),ABS(360-P8),-P8)))</f>
        <v>54.811858241569439</v>
      </c>
      <c r="U8" s="222">
        <f>IF(Q8&lt;0,ABS(Q8),IF(Q8&gt;360,Q8-(Q8-360),IF(AND(Q8&gt;180,Q8&lt;360),ABS(360-Q8),-Q8)))</f>
        <v>57.044982267149123</v>
      </c>
      <c r="V8" s="223" t="e">
        <f>IF(R8&lt;0,ABS(R8),IF(R8&gt;360,-(R8-360),IF(AND(R8&gt;180,R8&lt;360),ABS(360-R8),-R8)))</f>
        <v>#N/A</v>
      </c>
      <c r="W8" s="223" t="e">
        <f>IF(S8&lt;0,ABS(S8),IF(S8&gt;360,-(S8-360),IF(AND(S8&gt;180,S8&lt;360),ABS(360-S8),-S8)))</f>
        <v>#N/A</v>
      </c>
      <c r="X8" s="223"/>
      <c r="Y8" s="280"/>
      <c r="AA8" s="238"/>
      <c r="AB8" s="239"/>
      <c r="AC8" s="240"/>
      <c r="AD8" s="241" t="s">
        <v>126</v>
      </c>
      <c r="AE8" s="242">
        <f>MIN(L8:L9)</f>
        <v>37.868100554646311</v>
      </c>
    </row>
    <row r="9" spans="2:31" ht="17" thickBot="1">
      <c r="L9" s="225">
        <f>IFERROR(90-DEGREES(h_)+DEGREES(d_)-0.01,0)</f>
        <v>37.868100554646311</v>
      </c>
      <c r="M9" s="287">
        <f>IF(N9&gt;maxn,maxn,IF(N9&lt;mins,mins,N9))</f>
        <v>56.214284919562225</v>
      </c>
      <c r="N9" s="288">
        <f t="shared" ref="N9:N71" si="2">N8-step</f>
        <v>56.271093940290548</v>
      </c>
      <c r="O9" s="289">
        <f>RADIANS(M9)</f>
        <v>0.98112435850055657</v>
      </c>
      <c r="P9" s="219">
        <f>IFERROR(DEGREES(grt+ACOS((SIN(h)-SIN(d)*SIN(O9))/COS(d)/COS(O9))),#N/A)</f>
        <v>305.18814175843056</v>
      </c>
      <c r="Q9" s="219">
        <f>IFERROR(DEGREES(grt-ACOS((SIN(h)-SIN(d)*SIN(O9))/COS(d)/COS(O9))),#N/A)</f>
        <v>302.95501773285088</v>
      </c>
      <c r="R9" s="219" t="e">
        <f t="shared" si="0"/>
        <v>#N/A</v>
      </c>
      <c r="S9" s="220" t="e">
        <f t="shared" si="1"/>
        <v>#N/A</v>
      </c>
      <c r="T9" s="221">
        <f t="shared" ref="T9:T38" si="3">IF(P9&lt;0,ABS(P9),IF(P9&gt;360,-(P9-360),IF(AND(P9&gt;180,P9&lt;360),ABS(360-P9),-P9)))</f>
        <v>54.811858241569439</v>
      </c>
      <c r="U9" s="222">
        <f t="shared" ref="U9:U38" si="4">IF(Q9&lt;0,ABS(Q9),IF(Q9&gt;360,Q9-(Q9-360),IF(AND(Q9&gt;180,Q9&lt;360),ABS(360-Q9),-Q9)))</f>
        <v>57.044982267149123</v>
      </c>
      <c r="V9" s="223" t="e">
        <f t="shared" ref="V9:V38" si="5">IF(R9&lt;0,ABS(R9),IF(R9&gt;360,-(R9-360),IF(AND(R9&gt;180,R9&lt;360),ABS(360-R9),-R9)))</f>
        <v>#N/A</v>
      </c>
      <c r="W9" s="223" t="e">
        <f t="shared" ref="W9:W38" si="6">IF(S9&lt;0,ABS(S9),IF(S9&gt;360,-(S9-360),IF(AND(S9&gt;180,S9&lt;360),ABS(360-S9),-S9)))</f>
        <v>#N/A</v>
      </c>
      <c r="X9" s="223"/>
      <c r="Y9" s="280"/>
      <c r="AA9" s="233"/>
      <c r="AB9" s="234"/>
      <c r="AC9" s="235"/>
      <c r="AD9" s="236" t="s">
        <v>127</v>
      </c>
      <c r="AE9" s="237">
        <f>MAX(L192:L193)</f>
        <v>6.438195187504073</v>
      </c>
    </row>
    <row r="10" spans="2:31">
      <c r="M10" s="287">
        <f>IF(N10&gt;maxn,maxn,IF(N10&lt;mins,mins,N10))</f>
        <v>55.88780241142296</v>
      </c>
      <c r="N10" s="288">
        <f t="shared" si="2"/>
        <v>55.88780241142296</v>
      </c>
      <c r="O10" s="289">
        <f>RADIANS(M10)</f>
        <v>0.97542616378335723</v>
      </c>
      <c r="P10" s="219">
        <f>IFERROR(DEGREES(grt+ACOS((SIN(h)-SIN(d)*SIN(O10))/COS(d)/COS(O10))),#N/A)</f>
        <v>310.51075599986211</v>
      </c>
      <c r="Q10" s="219">
        <f>IFERROR(DEGREES(grt-ACOS((SIN(h)-SIN(d)*SIN(O10))/COS(d)/COS(O10))),#N/A)</f>
        <v>297.63240349141932</v>
      </c>
      <c r="R10" s="219" t="e">
        <f t="shared" si="0"/>
        <v>#N/A</v>
      </c>
      <c r="S10" s="220" t="e">
        <f t="shared" si="1"/>
        <v>#N/A</v>
      </c>
      <c r="T10" s="221">
        <f t="shared" si="3"/>
        <v>49.489244000137887</v>
      </c>
      <c r="U10" s="222">
        <f t="shared" si="4"/>
        <v>62.367596508580675</v>
      </c>
      <c r="V10" s="223" t="e">
        <f t="shared" si="5"/>
        <v>#N/A</v>
      </c>
      <c r="W10" s="223" t="e">
        <f t="shared" si="6"/>
        <v>#N/A</v>
      </c>
      <c r="X10" s="223"/>
      <c r="Y10" s="280"/>
      <c r="AA10" s="243"/>
      <c r="AB10" s="240"/>
      <c r="AC10" s="240"/>
      <c r="AD10" s="244" t="s">
        <v>128</v>
      </c>
      <c r="AE10" s="242">
        <f>IF(minn=0,AE6,minn)</f>
        <v>37.868100554646311</v>
      </c>
    </row>
    <row r="11" spans="2:31">
      <c r="M11" s="287">
        <f t="shared" ref="M11:M38" si="7">IF(N11&gt;maxn,maxn,IF(N11&lt;mins,mins,N11))</f>
        <v>55.504510882555373</v>
      </c>
      <c r="N11" s="288">
        <f>N10-step</f>
        <v>55.504510882555373</v>
      </c>
      <c r="O11" s="289">
        <f t="shared" ref="O11:O38" si="8">RADIANS(M11)</f>
        <v>0.96873646460961493</v>
      </c>
      <c r="P11" s="219">
        <f t="shared" ref="P11:P38" si="9">IFERROR(DEGREES(grt+ACOS((SIN(h)-SIN(d)*SIN(O11))/COS(d)/COS(O11))),#N/A)</f>
        <v>313.42534829648923</v>
      </c>
      <c r="Q11" s="219">
        <f t="shared" ref="Q11:Q38" si="10">IFERROR(DEGREES(grt-ACOS((SIN(h)-SIN(d)*SIN(O11))/COS(d)/COS(O11))),#N/A)</f>
        <v>294.7178111947922</v>
      </c>
      <c r="R11" s="219" t="e">
        <f t="shared" si="0"/>
        <v>#N/A</v>
      </c>
      <c r="S11" s="220" t="e">
        <f t="shared" si="1"/>
        <v>#N/A</v>
      </c>
      <c r="T11" s="221">
        <f t="shared" si="3"/>
        <v>46.574651703510767</v>
      </c>
      <c r="U11" s="222">
        <f t="shared" si="4"/>
        <v>65.282188805207795</v>
      </c>
      <c r="V11" s="223" t="e">
        <f t="shared" si="5"/>
        <v>#N/A</v>
      </c>
      <c r="W11" s="223" t="e">
        <f t="shared" si="6"/>
        <v>#N/A</v>
      </c>
      <c r="X11" s="223"/>
      <c r="Y11" s="280"/>
      <c r="AA11" s="245"/>
      <c r="AB11" s="235"/>
      <c r="AC11" s="235"/>
      <c r="AD11" s="246" t="s">
        <v>129</v>
      </c>
      <c r="AE11" s="237">
        <f>IF(maxs=0,AE7,maxs)</f>
        <v>6.438195187504073</v>
      </c>
    </row>
    <row r="12" spans="2:31">
      <c r="M12" s="287">
        <f t="shared" si="7"/>
        <v>55.121219353687785</v>
      </c>
      <c r="N12" s="288">
        <f t="shared" si="2"/>
        <v>55.121219353687785</v>
      </c>
      <c r="O12" s="289">
        <f t="shared" si="8"/>
        <v>0.96204676543587264</v>
      </c>
      <c r="P12" s="219">
        <f t="shared" si="9"/>
        <v>315.57278779088557</v>
      </c>
      <c r="Q12" s="219">
        <f t="shared" si="10"/>
        <v>292.57037170039587</v>
      </c>
      <c r="R12" s="219" t="e">
        <f t="shared" si="0"/>
        <v>#N/A</v>
      </c>
      <c r="S12" s="220" t="e">
        <f t="shared" si="1"/>
        <v>#N/A</v>
      </c>
      <c r="T12" s="221">
        <f t="shared" si="3"/>
        <v>44.42721220911443</v>
      </c>
      <c r="U12" s="222">
        <f t="shared" si="4"/>
        <v>67.429628299604133</v>
      </c>
      <c r="V12" s="223" t="e">
        <f t="shared" si="5"/>
        <v>#N/A</v>
      </c>
      <c r="W12" s="223" t="e">
        <f t="shared" si="6"/>
        <v>#N/A</v>
      </c>
      <c r="X12" s="223"/>
      <c r="Y12" s="280"/>
      <c r="AA12" s="238"/>
      <c r="AB12" s="239"/>
      <c r="AC12" s="240"/>
      <c r="AD12" s="241" t="s">
        <v>130</v>
      </c>
      <c r="AE12" s="247">
        <f>maxn-mins</f>
        <v>68.155339582172275</v>
      </c>
    </row>
    <row r="13" spans="2:31">
      <c r="M13" s="287">
        <f t="shared" si="7"/>
        <v>54.737927824820197</v>
      </c>
      <c r="N13" s="288">
        <f t="shared" si="2"/>
        <v>54.737927824820197</v>
      </c>
      <c r="O13" s="289">
        <f t="shared" si="8"/>
        <v>0.95535706626213035</v>
      </c>
      <c r="P13" s="219">
        <f t="shared" si="9"/>
        <v>317.33247865479404</v>
      </c>
      <c r="Q13" s="219">
        <f t="shared" si="10"/>
        <v>290.81068083648739</v>
      </c>
      <c r="R13" s="219" t="e">
        <f t="shared" si="0"/>
        <v>#N/A</v>
      </c>
      <c r="S13" s="220" t="e">
        <f t="shared" si="1"/>
        <v>#N/A</v>
      </c>
      <c r="T13" s="221">
        <f t="shared" si="3"/>
        <v>42.667521345205955</v>
      </c>
      <c r="U13" s="222">
        <f t="shared" si="4"/>
        <v>69.189319163512607</v>
      </c>
      <c r="V13" s="223" t="e">
        <f t="shared" si="5"/>
        <v>#N/A</v>
      </c>
      <c r="W13" s="223" t="e">
        <f t="shared" si="6"/>
        <v>#N/A</v>
      </c>
      <c r="X13" s="223"/>
      <c r="Y13" s="280"/>
      <c r="AA13" s="245"/>
      <c r="AB13" s="235"/>
      <c r="AC13" s="235"/>
      <c r="AD13" s="236" t="s">
        <v>131</v>
      </c>
      <c r="AE13" s="248">
        <f>AE10-AE11</f>
        <v>31.42990536714224</v>
      </c>
    </row>
    <row r="14" spans="2:31">
      <c r="M14" s="287">
        <f t="shared" si="7"/>
        <v>54.354636295952609</v>
      </c>
      <c r="N14" s="288">
        <f t="shared" si="2"/>
        <v>54.354636295952609</v>
      </c>
      <c r="O14" s="289">
        <f t="shared" si="8"/>
        <v>0.94866736708838806</v>
      </c>
      <c r="P14" s="219">
        <f t="shared" si="9"/>
        <v>318.84475423499174</v>
      </c>
      <c r="Q14" s="219">
        <f t="shared" si="10"/>
        <v>289.2984052562897</v>
      </c>
      <c r="R14" s="219" t="e">
        <f t="shared" si="0"/>
        <v>#N/A</v>
      </c>
      <c r="S14" s="220" t="e">
        <f t="shared" si="1"/>
        <v>#N/A</v>
      </c>
      <c r="T14" s="221">
        <f t="shared" si="3"/>
        <v>41.15524576500826</v>
      </c>
      <c r="U14" s="222">
        <f t="shared" si="4"/>
        <v>70.701594743710302</v>
      </c>
      <c r="V14" s="223" t="e">
        <f t="shared" si="5"/>
        <v>#N/A</v>
      </c>
      <c r="W14" s="223" t="e">
        <f t="shared" si="6"/>
        <v>#N/A</v>
      </c>
      <c r="X14" s="223"/>
      <c r="Y14" s="280"/>
      <c r="AA14" s="249"/>
      <c r="AB14" s="250"/>
      <c r="AC14" s="240"/>
      <c r="AD14" s="241" t="s">
        <v>132</v>
      </c>
      <c r="AE14" s="251">
        <v>178</v>
      </c>
    </row>
    <row r="15" spans="2:31">
      <c r="M15" s="287">
        <f t="shared" si="7"/>
        <v>53.971344767085021</v>
      </c>
      <c r="N15" s="288">
        <f t="shared" si="2"/>
        <v>53.971344767085021</v>
      </c>
      <c r="O15" s="289">
        <f t="shared" si="8"/>
        <v>0.94197766791464577</v>
      </c>
      <c r="P15" s="219">
        <f t="shared" si="9"/>
        <v>320.18042858816818</v>
      </c>
      <c r="Q15" s="219">
        <f t="shared" si="10"/>
        <v>287.96273090311325</v>
      </c>
      <c r="R15" s="219" t="e">
        <f t="shared" si="0"/>
        <v>#N/A</v>
      </c>
      <c r="S15" s="220" t="e">
        <f t="shared" si="1"/>
        <v>#N/A</v>
      </c>
      <c r="T15" s="221">
        <f t="shared" si="3"/>
        <v>39.819571411831816</v>
      </c>
      <c r="U15" s="222">
        <f t="shared" si="4"/>
        <v>72.037269096886746</v>
      </c>
      <c r="V15" s="223" t="e">
        <f t="shared" si="5"/>
        <v>#N/A</v>
      </c>
      <c r="W15" s="223" t="e">
        <f t="shared" si="6"/>
        <v>#N/A</v>
      </c>
      <c r="X15" s="223"/>
      <c r="Y15" s="280"/>
      <c r="AA15" s="252"/>
      <c r="AB15" s="253"/>
      <c r="AC15" s="235"/>
      <c r="AD15" s="236" t="s">
        <v>133</v>
      </c>
      <c r="AE15" s="254">
        <f>ROUNDDOWN(AE13*AE14/AE12,0)</f>
        <v>82</v>
      </c>
    </row>
    <row r="16" spans="2:31">
      <c r="M16" s="287">
        <f t="shared" si="7"/>
        <v>53.588053238217434</v>
      </c>
      <c r="N16" s="288">
        <f t="shared" si="2"/>
        <v>53.588053238217434</v>
      </c>
      <c r="O16" s="289">
        <f t="shared" si="8"/>
        <v>0.93528796874090347</v>
      </c>
      <c r="P16" s="219">
        <f t="shared" si="9"/>
        <v>321.38130883390562</v>
      </c>
      <c r="Q16" s="219">
        <f t="shared" si="10"/>
        <v>286.76185065737582</v>
      </c>
      <c r="R16" s="219" t="e">
        <f t="shared" si="0"/>
        <v>#N/A</v>
      </c>
      <c r="S16" s="220" t="e">
        <f t="shared" si="1"/>
        <v>#N/A</v>
      </c>
      <c r="T16" s="221">
        <f t="shared" si="3"/>
        <v>38.618691166094379</v>
      </c>
      <c r="U16" s="222">
        <f t="shared" si="4"/>
        <v>73.238149342624183</v>
      </c>
      <c r="V16" s="223" t="e">
        <f t="shared" si="5"/>
        <v>#N/A</v>
      </c>
      <c r="W16" s="223" t="e">
        <f t="shared" si="6"/>
        <v>#N/A</v>
      </c>
      <c r="X16" s="223"/>
      <c r="Y16" s="280"/>
      <c r="AA16" s="249"/>
      <c r="AB16" s="250"/>
      <c r="AC16" s="240"/>
      <c r="AD16" s="241" t="s">
        <v>134</v>
      </c>
      <c r="AE16" s="255">
        <f>ROUNDUP((AE14-AE15)/2,0)</f>
        <v>48</v>
      </c>
    </row>
    <row r="17" spans="13:31" ht="17" thickBot="1">
      <c r="M17" s="287">
        <f t="shared" si="7"/>
        <v>53.204761709349846</v>
      </c>
      <c r="N17" s="288">
        <f t="shared" si="2"/>
        <v>53.204761709349846</v>
      </c>
      <c r="O17" s="289">
        <f t="shared" si="8"/>
        <v>0.92859826956716118</v>
      </c>
      <c r="P17" s="219">
        <f t="shared" si="9"/>
        <v>322.47459532583599</v>
      </c>
      <c r="Q17" s="219">
        <f t="shared" si="10"/>
        <v>285.66856416544545</v>
      </c>
      <c r="R17" s="219" t="e">
        <f t="shared" si="0"/>
        <v>#N/A</v>
      </c>
      <c r="S17" s="220" t="e">
        <f t="shared" si="1"/>
        <v>#N/A</v>
      </c>
      <c r="T17" s="221">
        <f t="shared" si="3"/>
        <v>37.525404674164008</v>
      </c>
      <c r="U17" s="222">
        <f t="shared" si="4"/>
        <v>74.331435834554554</v>
      </c>
      <c r="V17" s="223" t="e">
        <f t="shared" si="5"/>
        <v>#N/A</v>
      </c>
      <c r="W17" s="223" t="e">
        <f t="shared" si="6"/>
        <v>#N/A</v>
      </c>
      <c r="X17" s="223"/>
      <c r="Y17" s="280"/>
      <c r="AA17" s="256"/>
      <c r="AB17" s="257"/>
      <c r="AC17" s="258"/>
      <c r="AD17" s="259" t="s">
        <v>135</v>
      </c>
      <c r="AE17" s="260">
        <f>IF(minn=0,AE12/AE15,AE13/AE15)</f>
        <v>0.38329152886758827</v>
      </c>
    </row>
    <row r="18" spans="13:31">
      <c r="M18" s="287">
        <f t="shared" si="7"/>
        <v>52.821470180482258</v>
      </c>
      <c r="N18" s="288">
        <f t="shared" si="2"/>
        <v>52.821470180482258</v>
      </c>
      <c r="O18" s="289">
        <f t="shared" si="8"/>
        <v>0.92190857039341878</v>
      </c>
      <c r="P18" s="219">
        <f t="shared" si="9"/>
        <v>323.47920404510262</v>
      </c>
      <c r="Q18" s="219">
        <f t="shared" si="10"/>
        <v>284.66395544617876</v>
      </c>
      <c r="R18" s="219" t="e">
        <f t="shared" si="0"/>
        <v>#N/A</v>
      </c>
      <c r="S18" s="220" t="e">
        <f t="shared" si="1"/>
        <v>#N/A</v>
      </c>
      <c r="T18" s="221">
        <f t="shared" si="3"/>
        <v>36.52079595489738</v>
      </c>
      <c r="U18" s="222">
        <f t="shared" si="4"/>
        <v>75.336044553821239</v>
      </c>
      <c r="V18" s="223" t="e">
        <f t="shared" si="5"/>
        <v>#N/A</v>
      </c>
      <c r="W18" s="223" t="e">
        <f t="shared" si="6"/>
        <v>#N/A</v>
      </c>
      <c r="X18" s="223"/>
      <c r="Y18" s="280"/>
    </row>
    <row r="19" spans="13:31">
      <c r="M19" s="287">
        <f t="shared" si="7"/>
        <v>52.43817865161467</v>
      </c>
      <c r="N19" s="288">
        <f t="shared" si="2"/>
        <v>52.43817865161467</v>
      </c>
      <c r="O19" s="289">
        <f t="shared" si="8"/>
        <v>0.91521887121967649</v>
      </c>
      <c r="P19" s="219">
        <f t="shared" si="9"/>
        <v>324.40894609234812</v>
      </c>
      <c r="Q19" s="219">
        <f t="shared" si="10"/>
        <v>283.73421339893332</v>
      </c>
      <c r="R19" s="219" t="e">
        <f t="shared" si="0"/>
        <v>#N/A</v>
      </c>
      <c r="S19" s="220" t="e">
        <f t="shared" si="1"/>
        <v>#N/A</v>
      </c>
      <c r="T19" s="221">
        <f t="shared" si="3"/>
        <v>35.591053907651883</v>
      </c>
      <c r="U19" s="222">
        <f t="shared" si="4"/>
        <v>76.265786601066679</v>
      </c>
      <c r="V19" s="223" t="e">
        <f t="shared" si="5"/>
        <v>#N/A</v>
      </c>
      <c r="W19" s="223" t="e">
        <f t="shared" si="6"/>
        <v>#N/A</v>
      </c>
      <c r="X19" s="223"/>
      <c r="Y19" s="280"/>
    </row>
    <row r="20" spans="13:31">
      <c r="M20" s="287">
        <f t="shared" si="7"/>
        <v>52.054887122747083</v>
      </c>
      <c r="N20" s="288">
        <f t="shared" si="2"/>
        <v>52.054887122747083</v>
      </c>
      <c r="O20" s="289">
        <f t="shared" si="8"/>
        <v>0.9085291720459342</v>
      </c>
      <c r="P20" s="219">
        <f t="shared" si="9"/>
        <v>325.27428750995301</v>
      </c>
      <c r="Q20" s="219">
        <f t="shared" si="10"/>
        <v>282.86887198132843</v>
      </c>
      <c r="R20" s="219" t="e">
        <f t="shared" si="0"/>
        <v>#N/A</v>
      </c>
      <c r="S20" s="220" t="e">
        <f t="shared" si="1"/>
        <v>#N/A</v>
      </c>
      <c r="T20" s="221">
        <f t="shared" si="3"/>
        <v>34.725712490046988</v>
      </c>
      <c r="U20" s="222">
        <f t="shared" si="4"/>
        <v>77.131128018671575</v>
      </c>
      <c r="V20" s="223" t="e">
        <f t="shared" si="5"/>
        <v>#N/A</v>
      </c>
      <c r="W20" s="223" t="e">
        <f t="shared" si="6"/>
        <v>#N/A</v>
      </c>
      <c r="X20" s="223"/>
      <c r="Y20" s="280"/>
    </row>
    <row r="21" spans="13:31">
      <c r="M21" s="287">
        <f t="shared" si="7"/>
        <v>51.671595593879495</v>
      </c>
      <c r="N21" s="288">
        <f t="shared" si="2"/>
        <v>51.671595593879495</v>
      </c>
      <c r="O21" s="289">
        <f t="shared" si="8"/>
        <v>0.90183947287219191</v>
      </c>
      <c r="P21" s="219">
        <f t="shared" si="9"/>
        <v>326.08339579591336</v>
      </c>
      <c r="Q21" s="219">
        <f t="shared" si="10"/>
        <v>282.05976369536802</v>
      </c>
      <c r="R21" s="219" t="e">
        <f t="shared" si="0"/>
        <v>#N/A</v>
      </c>
      <c r="S21" s="220" t="e">
        <f t="shared" si="1"/>
        <v>#N/A</v>
      </c>
      <c r="T21" s="221">
        <f t="shared" si="3"/>
        <v>33.916604204086639</v>
      </c>
      <c r="U21" s="222">
        <f t="shared" si="4"/>
        <v>77.940236304631981</v>
      </c>
      <c r="V21" s="223" t="e">
        <f t="shared" si="5"/>
        <v>#N/A</v>
      </c>
      <c r="W21" s="223" t="e">
        <f t="shared" si="6"/>
        <v>#N/A</v>
      </c>
      <c r="X21" s="223"/>
      <c r="Y21" s="280"/>
    </row>
    <row r="22" spans="13:31">
      <c r="M22" s="287">
        <f t="shared" si="7"/>
        <v>51.288304065011907</v>
      </c>
      <c r="N22" s="288">
        <f t="shared" si="2"/>
        <v>51.288304065011907</v>
      </c>
      <c r="O22" s="289">
        <f t="shared" si="8"/>
        <v>0.89514977369844961</v>
      </c>
      <c r="P22" s="219">
        <f t="shared" si="9"/>
        <v>326.84279803237735</v>
      </c>
      <c r="Q22" s="219">
        <f t="shared" si="10"/>
        <v>281.30036145890409</v>
      </c>
      <c r="R22" s="219" t="e">
        <f t="shared" si="0"/>
        <v>#N/A</v>
      </c>
      <c r="S22" s="220" t="e">
        <f t="shared" si="1"/>
        <v>#N/A</v>
      </c>
      <c r="T22" s="221">
        <f t="shared" si="3"/>
        <v>33.157201967622655</v>
      </c>
      <c r="U22" s="222">
        <f t="shared" si="4"/>
        <v>78.699638541095908</v>
      </c>
      <c r="V22" s="223" t="e">
        <f t="shared" si="5"/>
        <v>#N/A</v>
      </c>
      <c r="W22" s="223" t="e">
        <f t="shared" si="6"/>
        <v>#N/A</v>
      </c>
      <c r="X22" s="223"/>
      <c r="Y22" s="280"/>
    </row>
    <row r="23" spans="13:31">
      <c r="M23" s="287">
        <f t="shared" si="7"/>
        <v>50.905012536144319</v>
      </c>
      <c r="N23" s="288">
        <f t="shared" si="2"/>
        <v>50.905012536144319</v>
      </c>
      <c r="O23" s="289">
        <f t="shared" si="8"/>
        <v>0.88846007452470732</v>
      </c>
      <c r="P23" s="219">
        <f t="shared" si="9"/>
        <v>327.55781377985647</v>
      </c>
      <c r="Q23" s="219">
        <f t="shared" si="10"/>
        <v>280.58534571142496</v>
      </c>
      <c r="R23" s="219" t="e">
        <f t="shared" si="0"/>
        <v>#N/A</v>
      </c>
      <c r="S23" s="220" t="e">
        <f t="shared" si="1"/>
        <v>#N/A</v>
      </c>
      <c r="T23" s="221">
        <f t="shared" si="3"/>
        <v>32.442186220143526</v>
      </c>
      <c r="U23" s="222">
        <f t="shared" si="4"/>
        <v>79.414654288575036</v>
      </c>
      <c r="V23" s="223" t="e">
        <f>IF(R23&lt;0,ABS(R23),IF(R23&gt;360,-(R23-360),IF(AND(R23&gt;180,R23&lt;360),ABS(360-R23),-R23)))</f>
        <v>#N/A</v>
      </c>
      <c r="W23" s="223" t="e">
        <f t="shared" si="6"/>
        <v>#N/A</v>
      </c>
      <c r="X23" s="223"/>
      <c r="Y23" s="280"/>
    </row>
    <row r="24" spans="13:31">
      <c r="M24" s="287">
        <f t="shared" si="7"/>
        <v>50.521721007276732</v>
      </c>
      <c r="N24" s="288">
        <f t="shared" si="2"/>
        <v>50.521721007276732</v>
      </c>
      <c r="O24" s="289">
        <f t="shared" si="8"/>
        <v>0.88177037535096503</v>
      </c>
      <c r="P24" s="219">
        <f t="shared" si="9"/>
        <v>328.23285052667308</v>
      </c>
      <c r="Q24" s="219">
        <f t="shared" si="10"/>
        <v>279.9103089646083</v>
      </c>
      <c r="R24" s="219" t="e">
        <f t="shared" si="0"/>
        <v>#N/A</v>
      </c>
      <c r="S24" s="220" t="e">
        <f t="shared" si="1"/>
        <v>#N/A</v>
      </c>
      <c r="T24" s="221">
        <f t="shared" si="3"/>
        <v>31.767149473326924</v>
      </c>
      <c r="U24" s="222">
        <f t="shared" si="4"/>
        <v>80.089691035391695</v>
      </c>
      <c r="V24" s="223" t="e">
        <f t="shared" si="5"/>
        <v>#N/A</v>
      </c>
      <c r="W24" s="223" t="e">
        <f t="shared" si="6"/>
        <v>#N/A</v>
      </c>
      <c r="X24" s="223"/>
      <c r="Y24" s="280"/>
    </row>
    <row r="25" spans="13:31">
      <c r="M25" s="287">
        <f t="shared" si="7"/>
        <v>50.138429478409144</v>
      </c>
      <c r="N25" s="288">
        <f t="shared" si="2"/>
        <v>50.138429478409144</v>
      </c>
      <c r="O25" s="289">
        <f t="shared" si="8"/>
        <v>0.87508067617722274</v>
      </c>
      <c r="P25" s="219">
        <f t="shared" si="9"/>
        <v>328.87161166121945</v>
      </c>
      <c r="Q25" s="219">
        <f t="shared" si="10"/>
        <v>279.27154783006199</v>
      </c>
      <c r="R25" s="219" t="e">
        <f t="shared" si="0"/>
        <v>#N/A</v>
      </c>
      <c r="S25" s="220" t="e">
        <f t="shared" si="1"/>
        <v>#N/A</v>
      </c>
      <c r="T25" s="221">
        <f t="shared" si="3"/>
        <v>31.128388338780553</v>
      </c>
      <c r="U25" s="222">
        <f t="shared" si="4"/>
        <v>80.728452169938009</v>
      </c>
      <c r="V25" s="223" t="e">
        <f t="shared" si="5"/>
        <v>#N/A</v>
      </c>
      <c r="W25" s="223" t="e">
        <f t="shared" si="6"/>
        <v>#N/A</v>
      </c>
      <c r="X25" s="223"/>
      <c r="Y25" s="280"/>
    </row>
    <row r="26" spans="13:31">
      <c r="M26" s="287">
        <f t="shared" si="7"/>
        <v>49.755137949541556</v>
      </c>
      <c r="N26" s="288">
        <f t="shared" si="2"/>
        <v>49.755137949541556</v>
      </c>
      <c r="O26" s="289">
        <f t="shared" si="8"/>
        <v>0.86839097700348045</v>
      </c>
      <c r="P26" s="219">
        <f t="shared" si="9"/>
        <v>329.47724676394847</v>
      </c>
      <c r="Q26" s="219">
        <f t="shared" si="10"/>
        <v>278.66591272733297</v>
      </c>
      <c r="R26" s="219" t="e">
        <f t="shared" si="0"/>
        <v>#N/A</v>
      </c>
      <c r="S26" s="220" t="e">
        <f t="shared" si="1"/>
        <v>#N/A</v>
      </c>
      <c r="T26" s="221">
        <f t="shared" si="3"/>
        <v>30.522753236051528</v>
      </c>
      <c r="U26" s="222">
        <f t="shared" si="4"/>
        <v>81.334087272667034</v>
      </c>
      <c r="V26" s="223" t="e">
        <f t="shared" si="5"/>
        <v>#N/A</v>
      </c>
      <c r="W26" s="223" t="e">
        <f t="shared" si="6"/>
        <v>#N/A</v>
      </c>
      <c r="X26" s="223"/>
      <c r="Y26" s="280"/>
    </row>
    <row r="27" spans="13:31">
      <c r="M27" s="287">
        <f t="shared" si="7"/>
        <v>49.371846420673968</v>
      </c>
      <c r="N27" s="288">
        <f t="shared" si="2"/>
        <v>49.371846420673968</v>
      </c>
      <c r="O27" s="289">
        <f t="shared" si="8"/>
        <v>0.86170127782973815</v>
      </c>
      <c r="P27" s="219">
        <f t="shared" si="9"/>
        <v>330.05246270063304</v>
      </c>
      <c r="Q27" s="219">
        <f t="shared" si="10"/>
        <v>278.09069679064839</v>
      </c>
      <c r="R27" s="219" t="e">
        <f t="shared" si="0"/>
        <v>#N/A</v>
      </c>
      <c r="S27" s="220" t="e">
        <f t="shared" si="1"/>
        <v>#N/A</v>
      </c>
      <c r="T27" s="221">
        <f t="shared" si="3"/>
        <v>29.947537299366957</v>
      </c>
      <c r="U27" s="222">
        <f t="shared" si="4"/>
        <v>81.909303209351606</v>
      </c>
      <c r="V27" s="223" t="e">
        <f t="shared" si="5"/>
        <v>#N/A</v>
      </c>
      <c r="W27" s="223" t="e">
        <f t="shared" si="6"/>
        <v>#N/A</v>
      </c>
      <c r="X27" s="223"/>
      <c r="Y27" s="280"/>
    </row>
    <row r="28" spans="13:31">
      <c r="M28" s="287">
        <f t="shared" si="7"/>
        <v>48.98855489180638</v>
      </c>
      <c r="N28" s="288">
        <f t="shared" si="2"/>
        <v>48.98855489180638</v>
      </c>
      <c r="O28" s="289">
        <f t="shared" si="8"/>
        <v>0.85501157865599586</v>
      </c>
      <c r="P28" s="219">
        <f t="shared" si="9"/>
        <v>330.59960737275082</v>
      </c>
      <c r="Q28" s="219">
        <f t="shared" si="10"/>
        <v>277.54355211853061</v>
      </c>
      <c r="R28" s="219" t="e">
        <f t="shared" si="0"/>
        <v>#N/A</v>
      </c>
      <c r="S28" s="220" t="e">
        <f t="shared" si="1"/>
        <v>#N/A</v>
      </c>
      <c r="T28" s="221">
        <f t="shared" si="3"/>
        <v>29.400392627249175</v>
      </c>
      <c r="U28" s="222">
        <f t="shared" si="4"/>
        <v>82.456447881469387</v>
      </c>
      <c r="V28" s="223" t="e">
        <f t="shared" si="5"/>
        <v>#N/A</v>
      </c>
      <c r="W28" s="223" t="e">
        <f t="shared" si="6"/>
        <v>#N/A</v>
      </c>
      <c r="X28" s="223"/>
      <c r="Y28" s="280"/>
    </row>
    <row r="29" spans="13:31">
      <c r="M29" s="287">
        <f t="shared" si="7"/>
        <v>48.605263362938793</v>
      </c>
      <c r="N29" s="288">
        <f t="shared" si="2"/>
        <v>48.605263362938793</v>
      </c>
      <c r="O29" s="289">
        <f t="shared" si="8"/>
        <v>0.84832187948225357</v>
      </c>
      <c r="P29" s="219">
        <f t="shared" si="9"/>
        <v>331.1207339557368</v>
      </c>
      <c r="Q29" s="219">
        <f t="shared" si="10"/>
        <v>277.02242553554458</v>
      </c>
      <c r="R29" s="219" t="e">
        <f t="shared" si="0"/>
        <v>#N/A</v>
      </c>
      <c r="S29" s="220" t="e">
        <f t="shared" si="1"/>
        <v>#N/A</v>
      </c>
      <c r="T29" s="221">
        <f t="shared" si="3"/>
        <v>28.879266044263204</v>
      </c>
      <c r="U29" s="222">
        <f t="shared" si="4"/>
        <v>82.977574464455415</v>
      </c>
      <c r="V29" s="223" t="e">
        <f t="shared" si="5"/>
        <v>#N/A</v>
      </c>
      <c r="W29" s="223" t="e">
        <f t="shared" si="6"/>
        <v>#N/A</v>
      </c>
      <c r="X29" s="223"/>
      <c r="Y29" s="280"/>
    </row>
    <row r="30" spans="13:31">
      <c r="M30" s="287">
        <f t="shared" si="7"/>
        <v>48.221971834071205</v>
      </c>
      <c r="N30" s="288">
        <f t="shared" si="2"/>
        <v>48.221971834071205</v>
      </c>
      <c r="O30" s="289">
        <f t="shared" si="8"/>
        <v>0.84163218030851128</v>
      </c>
      <c r="P30" s="219">
        <f t="shared" si="9"/>
        <v>331.61765093110961</v>
      </c>
      <c r="Q30" s="219">
        <f t="shared" si="10"/>
        <v>276.52550856017183</v>
      </c>
      <c r="R30" s="219" t="e">
        <f t="shared" si="0"/>
        <v>#N/A</v>
      </c>
      <c r="S30" s="220" t="e">
        <f t="shared" si="1"/>
        <v>#N/A</v>
      </c>
      <c r="T30" s="221">
        <f t="shared" si="3"/>
        <v>28.382349068890392</v>
      </c>
      <c r="U30" s="222">
        <f t="shared" si="4"/>
        <v>83.474491439828171</v>
      </c>
      <c r="V30" s="223" t="e">
        <f t="shared" si="5"/>
        <v>#N/A</v>
      </c>
      <c r="W30" s="223" t="e">
        <f t="shared" si="6"/>
        <v>#N/A</v>
      </c>
      <c r="X30" s="223"/>
      <c r="Y30" s="280"/>
    </row>
    <row r="31" spans="13:31">
      <c r="M31" s="287">
        <f t="shared" si="7"/>
        <v>47.838680305203617</v>
      </c>
      <c r="N31" s="288">
        <f t="shared" si="2"/>
        <v>47.838680305203617</v>
      </c>
      <c r="O31" s="289">
        <f t="shared" si="8"/>
        <v>0.83494248113476899</v>
      </c>
      <c r="P31" s="219">
        <f t="shared" si="9"/>
        <v>332.09196158977579</v>
      </c>
      <c r="Q31" s="219">
        <f t="shared" si="10"/>
        <v>276.05119790150565</v>
      </c>
      <c r="R31" s="219" t="e">
        <f t="shared" si="0"/>
        <v>#N/A</v>
      </c>
      <c r="S31" s="220" t="e">
        <f t="shared" si="1"/>
        <v>#N/A</v>
      </c>
      <c r="T31" s="221">
        <f t="shared" si="3"/>
        <v>27.908038410224208</v>
      </c>
      <c r="U31" s="222">
        <f t="shared" si="4"/>
        <v>83.948802098494355</v>
      </c>
      <c r="V31" s="223" t="e">
        <f t="shared" si="5"/>
        <v>#N/A</v>
      </c>
      <c r="W31" s="223" t="e">
        <f t="shared" si="6"/>
        <v>#N/A</v>
      </c>
      <c r="X31" s="223"/>
      <c r="Y31" s="280"/>
    </row>
    <row r="32" spans="13:31">
      <c r="M32" s="287">
        <f t="shared" si="7"/>
        <v>47.455388776336029</v>
      </c>
      <c r="N32" s="288">
        <f t="shared" si="2"/>
        <v>47.455388776336029</v>
      </c>
      <c r="O32" s="289">
        <f t="shared" si="8"/>
        <v>0.82825278196102659</v>
      </c>
      <c r="P32" s="219">
        <f t="shared" si="9"/>
        <v>332.54509560672182</v>
      </c>
      <c r="Q32" s="219">
        <f t="shared" si="10"/>
        <v>275.59806388455962</v>
      </c>
      <c r="R32" s="219" t="e">
        <f t="shared" si="0"/>
        <v>#N/A</v>
      </c>
      <c r="S32" s="220" t="e">
        <f t="shared" si="1"/>
        <v>#N/A</v>
      </c>
      <c r="T32" s="221">
        <f t="shared" si="3"/>
        <v>27.454904393278184</v>
      </c>
      <c r="U32" s="222">
        <f t="shared" si="4"/>
        <v>84.401936115440378</v>
      </c>
      <c r="V32" s="223" t="e">
        <f t="shared" si="5"/>
        <v>#N/A</v>
      </c>
      <c r="W32" s="223" t="e">
        <f t="shared" si="6"/>
        <v>#N/A</v>
      </c>
      <c r="X32" s="223"/>
      <c r="Y32" s="280"/>
    </row>
    <row r="33" spans="13:25">
      <c r="M33" s="287">
        <f t="shared" si="7"/>
        <v>47.072097247468442</v>
      </c>
      <c r="N33" s="288">
        <f t="shared" si="2"/>
        <v>47.072097247468442</v>
      </c>
      <c r="O33" s="289">
        <f t="shared" si="8"/>
        <v>0.82156308278728429</v>
      </c>
      <c r="P33" s="219">
        <f t="shared" si="9"/>
        <v>332.97833455904919</v>
      </c>
      <c r="Q33" s="219">
        <f t="shared" si="10"/>
        <v>275.16482493223225</v>
      </c>
      <c r="R33" s="219" t="e">
        <f t="shared" si="0"/>
        <v>#N/A</v>
      </c>
      <c r="S33" s="220" t="e">
        <f t="shared" si="1"/>
        <v>#N/A</v>
      </c>
      <c r="T33" s="221">
        <f t="shared" si="3"/>
        <v>27.021665440950812</v>
      </c>
      <c r="U33" s="222">
        <f t="shared" si="4"/>
        <v>84.83517506776775</v>
      </c>
      <c r="V33" s="223" t="e">
        <f t="shared" si="5"/>
        <v>#N/A</v>
      </c>
      <c r="W33" s="223" t="e">
        <f t="shared" si="6"/>
        <v>#N/A</v>
      </c>
      <c r="X33" s="223"/>
      <c r="Y33" s="280"/>
    </row>
    <row r="34" spans="13:25">
      <c r="M34" s="287">
        <f t="shared" si="7"/>
        <v>46.688805718600854</v>
      </c>
      <c r="N34" s="288">
        <f t="shared" si="2"/>
        <v>46.688805718600854</v>
      </c>
      <c r="O34" s="289">
        <f t="shared" si="8"/>
        <v>0.814873383613542</v>
      </c>
      <c r="P34" s="219">
        <f t="shared" si="9"/>
        <v>333.39283275703201</v>
      </c>
      <c r="Q34" s="219">
        <f t="shared" si="10"/>
        <v>274.75032673424943</v>
      </c>
      <c r="R34" s="219" t="e">
        <f t="shared" si="0"/>
        <v>#N/A</v>
      </c>
      <c r="S34" s="220" t="e">
        <f t="shared" si="1"/>
        <v>#N/A</v>
      </c>
      <c r="T34" s="221">
        <f t="shared" si="3"/>
        <v>26.607167242967989</v>
      </c>
      <c r="U34" s="222">
        <f t="shared" si="4"/>
        <v>85.249673265750573</v>
      </c>
      <c r="V34" s="223" t="e">
        <f t="shared" si="5"/>
        <v>#N/A</v>
      </c>
      <c r="W34" s="223" t="e">
        <f t="shared" si="6"/>
        <v>#N/A</v>
      </c>
      <c r="X34" s="223"/>
      <c r="Y34" s="280"/>
    </row>
    <row r="35" spans="13:25">
      <c r="M35" s="287">
        <f t="shared" si="7"/>
        <v>46.305514189733266</v>
      </c>
      <c r="N35" s="288">
        <f t="shared" si="2"/>
        <v>46.305514189733266</v>
      </c>
      <c r="O35" s="289">
        <f t="shared" si="8"/>
        <v>0.80818368443979971</v>
      </c>
      <c r="P35" s="219">
        <f t="shared" si="9"/>
        <v>333.78963440518737</v>
      </c>
      <c r="Q35" s="219">
        <f t="shared" si="10"/>
        <v>274.35352508609407</v>
      </c>
      <c r="R35" s="219" t="e">
        <f t="shared" si="0"/>
        <v>#N/A</v>
      </c>
      <c r="S35" s="220" t="e">
        <f t="shared" si="1"/>
        <v>#N/A</v>
      </c>
      <c r="T35" s="221">
        <f t="shared" si="3"/>
        <v>26.210365594812629</v>
      </c>
      <c r="U35" s="222">
        <f t="shared" si="4"/>
        <v>85.646474913905934</v>
      </c>
      <c r="V35" s="223" t="e">
        <f t="shared" si="5"/>
        <v>#N/A</v>
      </c>
      <c r="W35" s="223" t="e">
        <f t="shared" si="6"/>
        <v>#N/A</v>
      </c>
      <c r="X35" s="223"/>
      <c r="Y35" s="280"/>
    </row>
    <row r="36" spans="13:25">
      <c r="M36" s="287">
        <f t="shared" si="7"/>
        <v>45.922222660865678</v>
      </c>
      <c r="N36" s="288">
        <f t="shared" si="2"/>
        <v>45.922222660865678</v>
      </c>
      <c r="O36" s="289">
        <f t="shared" si="8"/>
        <v>0.80149398526605742</v>
      </c>
      <c r="P36" s="219">
        <f t="shared" si="9"/>
        <v>334.16968785863372</v>
      </c>
      <c r="Q36" s="219">
        <f t="shared" si="10"/>
        <v>273.97347163264772</v>
      </c>
      <c r="R36" s="219" t="e">
        <f t="shared" si="0"/>
        <v>#N/A</v>
      </c>
      <c r="S36" s="220" t="e">
        <f t="shared" si="1"/>
        <v>#N/A</v>
      </c>
      <c r="T36" s="221">
        <f t="shared" si="3"/>
        <v>25.830312141366278</v>
      </c>
      <c r="U36" s="222">
        <f t="shared" si="4"/>
        <v>86.026528367352284</v>
      </c>
      <c r="V36" s="223" t="e">
        <f t="shared" si="5"/>
        <v>#N/A</v>
      </c>
      <c r="W36" s="223" t="e">
        <f t="shared" si="6"/>
        <v>#N/A</v>
      </c>
      <c r="X36" s="223"/>
      <c r="Y36" s="280"/>
    </row>
    <row r="37" spans="13:25">
      <c r="M37" s="287">
        <f t="shared" si="7"/>
        <v>45.538931131998091</v>
      </c>
      <c r="N37" s="288">
        <f t="shared" si="2"/>
        <v>45.538931131998091</v>
      </c>
      <c r="O37" s="289">
        <f t="shared" si="8"/>
        <v>0.79480428609231513</v>
      </c>
      <c r="P37" s="219">
        <f t="shared" si="9"/>
        <v>334.5338575576763</v>
      </c>
      <c r="Q37" s="219">
        <f t="shared" si="10"/>
        <v>273.60930193360514</v>
      </c>
      <c r="R37" s="219" t="e">
        <f t="shared" si="0"/>
        <v>#N/A</v>
      </c>
      <c r="S37" s="220" t="e">
        <f t="shared" si="1"/>
        <v>#N/A</v>
      </c>
      <c r="T37" s="221">
        <f t="shared" si="3"/>
        <v>25.466142442323701</v>
      </c>
      <c r="U37" s="222">
        <f t="shared" si="4"/>
        <v>86.390698066394862</v>
      </c>
      <c r="V37" s="223" t="e">
        <f t="shared" si="5"/>
        <v>#N/A</v>
      </c>
      <c r="W37" s="223" t="e">
        <f t="shared" si="6"/>
        <v>#N/A</v>
      </c>
      <c r="X37" s="223"/>
      <c r="Y37" s="280"/>
    </row>
    <row r="38" spans="13:25">
      <c r="M38" s="287">
        <f t="shared" si="7"/>
        <v>45.155639603130503</v>
      </c>
      <c r="N38" s="288">
        <f t="shared" si="2"/>
        <v>45.155639603130503</v>
      </c>
      <c r="O38" s="289">
        <f t="shared" si="8"/>
        <v>0.78811458691857283</v>
      </c>
      <c r="P38" s="219">
        <f t="shared" si="9"/>
        <v>334.88293408967445</v>
      </c>
      <c r="Q38" s="219">
        <f t="shared" si="10"/>
        <v>273.26022540160699</v>
      </c>
      <c r="R38" s="219" t="e">
        <f t="shared" si="0"/>
        <v>#N/A</v>
      </c>
      <c r="S38" s="220" t="e">
        <f t="shared" si="1"/>
        <v>#N/A</v>
      </c>
      <c r="T38" s="221">
        <f t="shared" si="3"/>
        <v>25.11706591032555</v>
      </c>
      <c r="U38" s="222">
        <f t="shared" si="4"/>
        <v>86.739774598393012</v>
      </c>
      <c r="V38" s="223" t="e">
        <f t="shared" si="5"/>
        <v>#N/A</v>
      </c>
      <c r="W38" s="223" t="e">
        <f t="shared" si="6"/>
        <v>#N/A</v>
      </c>
      <c r="X38" s="223"/>
      <c r="Y38" s="280"/>
    </row>
    <row r="39" spans="13:25">
      <c r="M39" s="287">
        <f t="shared" ref="M39:M96" si="11">IF(N39&gt;maxn,maxn,IF(N39&lt;mins,mins,N39))</f>
        <v>44.772348074262915</v>
      </c>
      <c r="N39" s="288">
        <f t="shared" si="2"/>
        <v>44.772348074262915</v>
      </c>
      <c r="O39" s="289">
        <f t="shared" ref="O39:O96" si="12">RADIANS(M39)</f>
        <v>0.78142488774483054</v>
      </c>
      <c r="P39" s="219">
        <f t="shared" ref="P39:P96" si="13">IFERROR(DEGREES(grt+ACOS((SIN(h)-SIN(d)*SIN(O39))/COS(d)/COS(O39))),#N/A)</f>
        <v>335.21764272769997</v>
      </c>
      <c r="Q39" s="219">
        <f t="shared" ref="Q39:Q96" si="14">IFERROR(DEGREES(grt-ACOS((SIN(h)-SIN(d)*SIN(O39))/COS(d)/COS(O39))),#N/A)</f>
        <v>272.92551676358147</v>
      </c>
      <c r="R39" s="219" t="e">
        <f t="shared" si="0"/>
        <v>#N/A</v>
      </c>
      <c r="S39" s="220" t="e">
        <f t="shared" si="1"/>
        <v>#N/A</v>
      </c>
      <c r="T39" s="221">
        <f t="shared" ref="T39:T96" si="15">IF(P39&lt;0,ABS(P39),IF(P39&gt;360,-(P39-360),IF(AND(P39&gt;180,P39&lt;360),ABS(360-P39),-P39)))</f>
        <v>24.782357272300032</v>
      </c>
      <c r="U39" s="222">
        <f t="shared" ref="U39:U96" si="16">IF(Q39&lt;0,ABS(Q39),IF(Q39&gt;360,Q39-(Q39-360),IF(AND(Q39&gt;180,Q39&lt;360),ABS(360-Q39),-Q39)))</f>
        <v>87.07448323641853</v>
      </c>
      <c r="V39" s="223" t="e">
        <f t="shared" ref="V39:V96" si="17">IF(R39&lt;0,ABS(R39),IF(R39&gt;360,-(R39-360),IF(AND(R39&gt;180,R39&lt;360),ABS(360-R39),-R39)))</f>
        <v>#N/A</v>
      </c>
      <c r="W39" s="223" t="e">
        <f t="shared" ref="W39:W96" si="18">IF(S39&lt;0,ABS(S39),IF(S39&gt;360,-(S39-360),IF(AND(S39&gt;180,S39&lt;360),ABS(360-S39),-S39)))</f>
        <v>#N/A</v>
      </c>
      <c r="X39" s="223"/>
      <c r="Y39" s="280"/>
    </row>
    <row r="40" spans="13:25">
      <c r="M40" s="287">
        <f t="shared" si="11"/>
        <v>44.389056545395327</v>
      </c>
      <c r="N40" s="288">
        <f t="shared" si="2"/>
        <v>44.389056545395327</v>
      </c>
      <c r="O40" s="289">
        <f t="shared" si="12"/>
        <v>0.77473518857108825</v>
      </c>
      <c r="P40" s="219">
        <f t="shared" si="13"/>
        <v>335.53865072063087</v>
      </c>
      <c r="Q40" s="219">
        <f t="shared" si="14"/>
        <v>272.60450877065057</v>
      </c>
      <c r="R40" s="219" t="e">
        <f t="shared" ref="R40:R71" si="19">IFERROR(DEGREES(grt_+ACOS((SIN(h_)-SIN(d_)*SIN(O40))/COS(d_)/COS(O40))),#N/A)</f>
        <v>#N/A</v>
      </c>
      <c r="S40" s="220" t="e">
        <f t="shared" ref="S40:S71" si="20">IFERROR(DEGREES(grt_-ACOS((SIN(h_)-SIN(d_)*SIN(O40))/COS(d_)/COS(O40))),#N/A)</f>
        <v>#N/A</v>
      </c>
      <c r="T40" s="221">
        <f t="shared" si="15"/>
        <v>24.461349279369131</v>
      </c>
      <c r="U40" s="222">
        <f t="shared" si="16"/>
        <v>87.395491229349432</v>
      </c>
      <c r="V40" s="223" t="e">
        <f t="shared" si="17"/>
        <v>#N/A</v>
      </c>
      <c r="W40" s="223" t="e">
        <f t="shared" si="18"/>
        <v>#N/A</v>
      </c>
      <c r="X40" s="223"/>
      <c r="Y40" s="280"/>
    </row>
    <row r="41" spans="13:25" hidden="1">
      <c r="M41" s="287">
        <f t="shared" si="11"/>
        <v>44.005765016527739</v>
      </c>
      <c r="N41" s="288">
        <f t="shared" si="2"/>
        <v>44.005765016527739</v>
      </c>
      <c r="O41" s="289">
        <f t="shared" si="12"/>
        <v>0.76804548939734596</v>
      </c>
      <c r="P41" s="219">
        <f t="shared" si="13"/>
        <v>335.84657355240813</v>
      </c>
      <c r="Q41" s="219">
        <f t="shared" si="14"/>
        <v>272.29658593887331</v>
      </c>
      <c r="R41" s="219" t="e">
        <f t="shared" si="19"/>
        <v>#N/A</v>
      </c>
      <c r="S41" s="220" t="e">
        <f t="shared" si="20"/>
        <v>#N/A</v>
      </c>
      <c r="T41" s="221">
        <f t="shared" si="15"/>
        <v>24.153426447591869</v>
      </c>
      <c r="U41" s="222">
        <f t="shared" si="16"/>
        <v>87.703414061126693</v>
      </c>
      <c r="V41" s="223" t="e">
        <f t="shared" si="17"/>
        <v>#N/A</v>
      </c>
      <c r="W41" s="223" t="e">
        <f t="shared" si="18"/>
        <v>#N/A</v>
      </c>
      <c r="X41" s="223"/>
      <c r="Y41" s="280"/>
    </row>
    <row r="42" spans="13:25" hidden="1">
      <c r="M42" s="287">
        <f t="shared" si="11"/>
        <v>43.622473487660152</v>
      </c>
      <c r="N42" s="288">
        <f t="shared" si="2"/>
        <v>43.622473487660152</v>
      </c>
      <c r="O42" s="289">
        <f t="shared" si="12"/>
        <v>0.76135579022360367</v>
      </c>
      <c r="P42" s="219">
        <f t="shared" si="13"/>
        <v>336.14198034449583</v>
      </c>
      <c r="Q42" s="219">
        <f t="shared" si="14"/>
        <v>272.0011791467856</v>
      </c>
      <c r="R42" s="219" t="e">
        <f t="shared" si="19"/>
        <v>#N/A</v>
      </c>
      <c r="S42" s="220" t="e">
        <f t="shared" si="20"/>
        <v>#N/A</v>
      </c>
      <c r="T42" s="221">
        <f t="shared" si="15"/>
        <v>23.858019655504165</v>
      </c>
      <c r="U42" s="222">
        <f t="shared" si="16"/>
        <v>87.998820853214397</v>
      </c>
      <c r="V42" s="223" t="e">
        <f t="shared" si="17"/>
        <v>#N/A</v>
      </c>
      <c r="W42" s="223" t="e">
        <f t="shared" si="18"/>
        <v>#N/A</v>
      </c>
      <c r="X42" s="223"/>
      <c r="Y42" s="280"/>
    </row>
    <row r="43" spans="13:25" hidden="1">
      <c r="M43" s="287">
        <f t="shared" si="11"/>
        <v>43.239181958792564</v>
      </c>
      <c r="N43" s="288">
        <f t="shared" si="2"/>
        <v>43.239181958792564</v>
      </c>
      <c r="O43" s="289">
        <f t="shared" si="12"/>
        <v>0.75466609104986138</v>
      </c>
      <c r="P43" s="219">
        <f t="shared" si="13"/>
        <v>336.42539854172685</v>
      </c>
      <c r="Q43" s="219">
        <f t="shared" si="14"/>
        <v>271.71776094955459</v>
      </c>
      <c r="R43" s="219" t="e">
        <f t="shared" si="19"/>
        <v>#N/A</v>
      </c>
      <c r="S43" s="220" t="e">
        <f t="shared" si="20"/>
        <v>#N/A</v>
      </c>
      <c r="T43" s="221">
        <f t="shared" si="15"/>
        <v>23.57460145827315</v>
      </c>
      <c r="U43" s="222">
        <f t="shared" si="16"/>
        <v>88.282239050445412</v>
      </c>
      <c r="V43" s="223" t="e">
        <f t="shared" si="17"/>
        <v>#N/A</v>
      </c>
      <c r="W43" s="223" t="e">
        <f t="shared" si="18"/>
        <v>#N/A</v>
      </c>
      <c r="X43" s="223"/>
      <c r="Y43" s="280"/>
    </row>
    <row r="44" spans="13:25" hidden="1">
      <c r="M44" s="287">
        <f t="shared" si="11"/>
        <v>42.855890429924976</v>
      </c>
      <c r="N44" s="288">
        <f t="shared" si="2"/>
        <v>42.855890429924976</v>
      </c>
      <c r="O44" s="289">
        <f t="shared" si="12"/>
        <v>0.74797639187611908</v>
      </c>
      <c r="P44" s="219">
        <f t="shared" si="13"/>
        <v>336.69731799526232</v>
      </c>
      <c r="Q44" s="219">
        <f t="shared" si="14"/>
        <v>271.44584149601906</v>
      </c>
      <c r="R44" s="219" t="e">
        <f t="shared" si="19"/>
        <v>#N/A</v>
      </c>
      <c r="S44" s="220" t="e">
        <f t="shared" si="20"/>
        <v>#N/A</v>
      </c>
      <c r="T44" s="221">
        <f t="shared" si="15"/>
        <v>23.302682004737676</v>
      </c>
      <c r="U44" s="222">
        <f t="shared" si="16"/>
        <v>88.554158503980943</v>
      </c>
      <c r="V44" s="223" t="e">
        <f t="shared" si="17"/>
        <v>#N/A</v>
      </c>
      <c r="W44" s="223" t="e">
        <f t="shared" si="18"/>
        <v>#N/A</v>
      </c>
      <c r="X44" s="223"/>
      <c r="Y44" s="280"/>
    </row>
    <row r="45" spans="13:25" hidden="1">
      <c r="M45" s="287">
        <f t="shared" si="11"/>
        <v>42.472598901057388</v>
      </c>
      <c r="N45" s="288">
        <f t="shared" si="2"/>
        <v>42.472598901057388</v>
      </c>
      <c r="O45" s="289">
        <f t="shared" si="12"/>
        <v>0.74128669270237679</v>
      </c>
      <c r="P45" s="219">
        <f t="shared" si="13"/>
        <v>336.95819453555242</v>
      </c>
      <c r="Q45" s="219">
        <f t="shared" si="14"/>
        <v>271.18496495572901</v>
      </c>
      <c r="R45" s="219" t="e">
        <f t="shared" si="19"/>
        <v>#N/A</v>
      </c>
      <c r="S45" s="220" t="e">
        <f t="shared" si="20"/>
        <v>#N/A</v>
      </c>
      <c r="T45" s="221">
        <f t="shared" si="15"/>
        <v>23.041805464447577</v>
      </c>
      <c r="U45" s="222">
        <f t="shared" si="16"/>
        <v>88.815035044270985</v>
      </c>
      <c r="V45" s="223" t="e">
        <f t="shared" si="17"/>
        <v>#N/A</v>
      </c>
      <c r="W45" s="223" t="e">
        <f t="shared" si="18"/>
        <v>#N/A</v>
      </c>
      <c r="X45" s="223"/>
      <c r="Y45" s="280"/>
    </row>
    <row r="46" spans="13:25" hidden="1">
      <c r="M46" s="287">
        <f t="shared" si="11"/>
        <v>42.089307372189801</v>
      </c>
      <c r="N46" s="288">
        <f t="shared" si="2"/>
        <v>42.089307372189801</v>
      </c>
      <c r="O46" s="289">
        <f t="shared" si="12"/>
        <v>0.7345969935286345</v>
      </c>
      <c r="P46" s="219">
        <f t="shared" si="13"/>
        <v>337.20845311163754</v>
      </c>
      <c r="Q46" s="219">
        <f t="shared" si="14"/>
        <v>270.9347063796439</v>
      </c>
      <c r="R46" s="219" t="e">
        <f t="shared" si="19"/>
        <v>#N/A</v>
      </c>
      <c r="S46" s="220" t="e">
        <f t="shared" si="20"/>
        <v>#N/A</v>
      </c>
      <c r="T46" s="221">
        <f t="shared" si="15"/>
        <v>22.791546888362461</v>
      </c>
      <c r="U46" s="222">
        <f t="shared" si="16"/>
        <v>89.065293620356101</v>
      </c>
      <c r="V46" s="223" t="e">
        <f t="shared" si="17"/>
        <v>#N/A</v>
      </c>
      <c r="W46" s="223" t="e">
        <f t="shared" si="18"/>
        <v>#N/A</v>
      </c>
      <c r="X46" s="223"/>
      <c r="Y46" s="280"/>
    </row>
    <row r="47" spans="13:25" hidden="1">
      <c r="M47" s="287">
        <f t="shared" si="11"/>
        <v>41.706015843322213</v>
      </c>
      <c r="N47" s="288">
        <f t="shared" si="2"/>
        <v>41.706015843322213</v>
      </c>
      <c r="O47" s="289">
        <f t="shared" si="12"/>
        <v>0.7279072943548921</v>
      </c>
      <c r="P47" s="219">
        <f t="shared" si="13"/>
        <v>337.44849055991187</v>
      </c>
      <c r="Q47" s="219">
        <f t="shared" si="14"/>
        <v>270.69466893136956</v>
      </c>
      <c r="R47" s="219" t="e">
        <f t="shared" si="19"/>
        <v>#N/A</v>
      </c>
      <c r="S47" s="220" t="e">
        <f t="shared" si="20"/>
        <v>#N/A</v>
      </c>
      <c r="T47" s="221">
        <f t="shared" si="15"/>
        <v>22.551509440088125</v>
      </c>
      <c r="U47" s="222">
        <f>IF(Q47&lt;0,ABS(Q47),IF(Q47&gt;360,Q47-(Q47-360),IF(AND(Q47&gt;180,Q47&lt;360),ABS(360-Q47),-Q47)))</f>
        <v>89.305331068630437</v>
      </c>
      <c r="V47" s="223" t="e">
        <f t="shared" si="17"/>
        <v>#N/A</v>
      </c>
      <c r="W47" s="223" t="e">
        <f t="shared" si="18"/>
        <v>#N/A</v>
      </c>
      <c r="X47" s="223"/>
      <c r="Y47" s="280"/>
    </row>
    <row r="48" spans="13:25" hidden="1">
      <c r="M48" s="287">
        <f t="shared" si="11"/>
        <v>41.322724314454625</v>
      </c>
      <c r="N48" s="288">
        <f t="shared" si="2"/>
        <v>41.322724314454625</v>
      </c>
      <c r="O48" s="289">
        <f t="shared" si="12"/>
        <v>0.72121759518114981</v>
      </c>
      <c r="P48" s="219">
        <f t="shared" si="13"/>
        <v>337.67867805482359</v>
      </c>
      <c r="Q48" s="219">
        <f t="shared" si="14"/>
        <v>270.46448143645785</v>
      </c>
      <c r="R48" s="219" t="e">
        <f t="shared" si="19"/>
        <v>#N/A</v>
      </c>
      <c r="S48" s="220" t="e">
        <f t="shared" si="20"/>
        <v>#N/A</v>
      </c>
      <c r="T48" s="221">
        <f t="shared" si="15"/>
        <v>22.321321945176408</v>
      </c>
      <c r="U48" s="222">
        <f t="shared" si="16"/>
        <v>89.535518563542155</v>
      </c>
      <c r="V48" s="223" t="e">
        <f t="shared" si="17"/>
        <v>#N/A</v>
      </c>
      <c r="W48" s="223" t="e">
        <f t="shared" si="18"/>
        <v>#N/A</v>
      </c>
      <c r="X48" s="223"/>
      <c r="Y48" s="280"/>
    </row>
    <row r="49" spans="13:25" hidden="1">
      <c r="M49" s="287">
        <f t="shared" si="11"/>
        <v>40.939432785587037</v>
      </c>
      <c r="N49" s="288">
        <f t="shared" si="2"/>
        <v>40.939432785587037</v>
      </c>
      <c r="O49" s="289">
        <f t="shared" si="12"/>
        <v>0.71452789600740751</v>
      </c>
      <c r="P49" s="219">
        <f t="shared" si="13"/>
        <v>337.89936328537232</v>
      </c>
      <c r="Q49" s="219">
        <f t="shared" si="14"/>
        <v>270.24379620590906</v>
      </c>
      <c r="R49" s="219" t="e">
        <f t="shared" si="19"/>
        <v>#N/A</v>
      </c>
      <c r="S49" s="220" t="e">
        <f t="shared" si="20"/>
        <v>#N/A</v>
      </c>
      <c r="T49" s="221">
        <f t="shared" si="15"/>
        <v>22.100636714627683</v>
      </c>
      <c r="U49" s="222">
        <f t="shared" si="16"/>
        <v>89.756203794090936</v>
      </c>
      <c r="V49" s="223" t="e">
        <f t="shared" si="17"/>
        <v>#N/A</v>
      </c>
      <c r="W49" s="223" t="e">
        <f t="shared" si="18"/>
        <v>#N/A</v>
      </c>
      <c r="X49" s="223"/>
      <c r="Y49" s="280"/>
    </row>
    <row r="50" spans="13:25" hidden="1">
      <c r="M50" s="287">
        <f t="shared" si="11"/>
        <v>40.556141256719449</v>
      </c>
      <c r="N50" s="288">
        <f t="shared" si="2"/>
        <v>40.556141256719449</v>
      </c>
      <c r="O50" s="289">
        <f t="shared" si="12"/>
        <v>0.70783819683366522</v>
      </c>
      <c r="P50" s="219">
        <f t="shared" si="13"/>
        <v>338.11087239424421</v>
      </c>
      <c r="Q50" s="219">
        <f t="shared" si="14"/>
        <v>270.03228709703723</v>
      </c>
      <c r="R50" s="219" t="e">
        <f t="shared" si="19"/>
        <v>#N/A</v>
      </c>
      <c r="S50" s="220" t="e">
        <f t="shared" si="20"/>
        <v>#N/A</v>
      </c>
      <c r="T50" s="221">
        <f t="shared" si="15"/>
        <v>21.889127605755789</v>
      </c>
      <c r="U50" s="222">
        <f t="shared" si="16"/>
        <v>89.967712902962774</v>
      </c>
      <c r="V50" s="223" t="e">
        <f t="shared" si="17"/>
        <v>#N/A</v>
      </c>
      <c r="W50" s="223" t="e">
        <f t="shared" si="18"/>
        <v>#N/A</v>
      </c>
      <c r="X50" s="223"/>
      <c r="Y50" s="280"/>
    </row>
    <row r="51" spans="13:25" hidden="1">
      <c r="M51" s="287">
        <f t="shared" si="11"/>
        <v>40.172849727851862</v>
      </c>
      <c r="N51" s="288">
        <f t="shared" si="2"/>
        <v>40.172849727851862</v>
      </c>
      <c r="O51" s="289">
        <f t="shared" si="12"/>
        <v>0.70114849765992293</v>
      </c>
      <c r="P51" s="219">
        <f t="shared" si="13"/>
        <v>338.31351171067428</v>
      </c>
      <c r="Q51" s="219">
        <f t="shared" si="14"/>
        <v>269.82964778060716</v>
      </c>
      <c r="R51" s="219" t="e">
        <f t="shared" si="19"/>
        <v>#N/A</v>
      </c>
      <c r="S51" s="220" t="e">
        <f t="shared" si="20"/>
        <v>#N/A</v>
      </c>
      <c r="T51" s="221">
        <f t="shared" si="15"/>
        <v>21.686488289325723</v>
      </c>
      <c r="U51" s="222">
        <f t="shared" si="16"/>
        <v>90.170352219392839</v>
      </c>
      <c r="V51" s="223" t="e">
        <f t="shared" si="17"/>
        <v>#N/A</v>
      </c>
      <c r="W51" s="223" t="e">
        <f t="shared" si="18"/>
        <v>#N/A</v>
      </c>
      <c r="X51" s="223"/>
      <c r="Y51" s="280"/>
    </row>
    <row r="52" spans="13:25" hidden="1">
      <c r="M52" s="287">
        <f t="shared" si="11"/>
        <v>39.789558198984274</v>
      </c>
      <c r="N52" s="288">
        <f t="shared" si="2"/>
        <v>39.789558198984274</v>
      </c>
      <c r="O52" s="289">
        <f t="shared" si="12"/>
        <v>0.69445879848618064</v>
      </c>
      <c r="P52" s="219">
        <f t="shared" si="13"/>
        <v>338.50756930339139</v>
      </c>
      <c r="Q52" s="219">
        <f t="shared" si="14"/>
        <v>269.63559018789005</v>
      </c>
      <c r="R52" s="219" t="e">
        <f t="shared" si="19"/>
        <v>#N/A</v>
      </c>
      <c r="S52" s="220" t="e">
        <f t="shared" si="20"/>
        <v>#N/A</v>
      </c>
      <c r="T52" s="221">
        <f t="shared" si="15"/>
        <v>21.492430696608608</v>
      </c>
      <c r="U52" s="222">
        <f t="shared" si="16"/>
        <v>90.364409812109955</v>
      </c>
      <c r="V52" s="223" t="e">
        <f t="shared" si="17"/>
        <v>#N/A</v>
      </c>
      <c r="W52" s="223" t="e">
        <f t="shared" si="18"/>
        <v>#N/A</v>
      </c>
      <c r="X52" s="223"/>
      <c r="Y52" s="280"/>
    </row>
    <row r="53" spans="13:25" hidden="1">
      <c r="M53" s="287">
        <f t="shared" si="11"/>
        <v>39.406266670116686</v>
      </c>
      <c r="N53" s="288">
        <f t="shared" si="2"/>
        <v>39.406266670116686</v>
      </c>
      <c r="O53" s="289">
        <f t="shared" si="12"/>
        <v>0.68776909931243835</v>
      </c>
      <c r="P53" s="219">
        <f t="shared" si="13"/>
        <v>338.69331637608218</v>
      </c>
      <c r="Q53" s="219">
        <f t="shared" si="14"/>
        <v>269.44984311519926</v>
      </c>
      <c r="R53" s="219" t="e">
        <f t="shared" si="19"/>
        <v>#N/A</v>
      </c>
      <c r="S53" s="220" t="e">
        <f t="shared" si="20"/>
        <v>#N/A</v>
      </c>
      <c r="T53" s="221">
        <f t="shared" si="15"/>
        <v>21.30668362391782</v>
      </c>
      <c r="U53" s="222">
        <f t="shared" si="16"/>
        <v>90.550156884800742</v>
      </c>
      <c r="V53" s="223" t="e">
        <f t="shared" si="17"/>
        <v>#N/A</v>
      </c>
      <c r="W53" s="223" t="e">
        <f t="shared" si="18"/>
        <v>#N/A</v>
      </c>
      <c r="X53" s="223"/>
      <c r="Y53" s="280"/>
    </row>
    <row r="54" spans="13:25" hidden="1">
      <c r="M54" s="287">
        <f t="shared" si="11"/>
        <v>39.022975141249098</v>
      </c>
      <c r="N54" s="288">
        <f t="shared" si="2"/>
        <v>39.022975141249098</v>
      </c>
      <c r="O54" s="289">
        <f t="shared" si="12"/>
        <v>0.68107940013869606</v>
      </c>
      <c r="P54" s="219">
        <f t="shared" si="13"/>
        <v>338.87100852455018</v>
      </c>
      <c r="Q54" s="219">
        <f t="shared" si="14"/>
        <v>269.27215096673126</v>
      </c>
      <c r="R54" s="219" t="e">
        <f t="shared" si="19"/>
        <v>#N/A</v>
      </c>
      <c r="S54" s="220" t="e">
        <f t="shared" si="20"/>
        <v>#N/A</v>
      </c>
      <c r="T54" s="221">
        <f t="shared" si="15"/>
        <v>21.128991475449823</v>
      </c>
      <c r="U54" s="222">
        <f t="shared" si="16"/>
        <v>90.72784903326874</v>
      </c>
      <c r="V54" s="223" t="e">
        <f t="shared" si="17"/>
        <v>#N/A</v>
      </c>
      <c r="W54" s="223" t="e">
        <f t="shared" si="18"/>
        <v>#N/A</v>
      </c>
      <c r="X54" s="223"/>
      <c r="Y54" s="280"/>
    </row>
    <row r="55" spans="13:25" hidden="1">
      <c r="M55" s="287">
        <f t="shared" si="11"/>
        <v>38.639683612381511</v>
      </c>
      <c r="N55" s="288">
        <f t="shared" si="2"/>
        <v>38.639683612381511</v>
      </c>
      <c r="O55" s="289">
        <f t="shared" si="12"/>
        <v>0.67438970096495376</v>
      </c>
      <c r="P55" s="219">
        <f t="shared" si="13"/>
        <v>339.04088687202346</v>
      </c>
      <c r="Q55" s="219">
        <f t="shared" si="14"/>
        <v>269.10227261925797</v>
      </c>
      <c r="R55" s="219" t="e">
        <f t="shared" si="19"/>
        <v>#N/A</v>
      </c>
      <c r="S55" s="220" t="e">
        <f t="shared" si="20"/>
        <v>#N/A</v>
      </c>
      <c r="T55" s="221">
        <f t="shared" si="15"/>
        <v>20.959113127976536</v>
      </c>
      <c r="U55" s="222">
        <f t="shared" si="16"/>
        <v>90.897727380742026</v>
      </c>
      <c r="V55" s="223" t="e">
        <f t="shared" si="17"/>
        <v>#N/A</v>
      </c>
      <c r="W55" s="223" t="e">
        <f t="shared" si="18"/>
        <v>#N/A</v>
      </c>
      <c r="X55" s="223"/>
      <c r="Y55" s="280"/>
    </row>
    <row r="56" spans="13:25" hidden="1">
      <c r="M56" s="287">
        <f t="shared" si="11"/>
        <v>38.256392083513923</v>
      </c>
      <c r="N56" s="288">
        <f t="shared" si="2"/>
        <v>38.256392083513923</v>
      </c>
      <c r="O56" s="289">
        <f t="shared" si="12"/>
        <v>0.66770000179121147</v>
      </c>
      <c r="P56" s="219">
        <f t="shared" si="13"/>
        <v>339.20317909678033</v>
      </c>
      <c r="Q56" s="219">
        <f t="shared" si="14"/>
        <v>268.93998039450111</v>
      </c>
      <c r="R56" s="219" t="e">
        <f t="shared" si="19"/>
        <v>#N/A</v>
      </c>
      <c r="S56" s="220" t="e">
        <f t="shared" si="20"/>
        <v>#N/A</v>
      </c>
      <c r="T56" s="221">
        <f t="shared" si="15"/>
        <v>20.796820903219668</v>
      </c>
      <c r="U56" s="222">
        <f t="shared" si="16"/>
        <v>91.060019605498894</v>
      </c>
      <c r="V56" s="223" t="e">
        <f t="shared" si="17"/>
        <v>#N/A</v>
      </c>
      <c r="W56" s="223" t="e">
        <f t="shared" si="18"/>
        <v>#N/A</v>
      </c>
      <c r="X56" s="223"/>
      <c r="Y56" s="280"/>
    </row>
    <row r="57" spans="13:25" hidden="1">
      <c r="M57" s="287">
        <f t="shared" si="11"/>
        <v>37.873100554646335</v>
      </c>
      <c r="N57" s="288">
        <f t="shared" si="2"/>
        <v>37.873100554646335</v>
      </c>
      <c r="O57" s="289">
        <f t="shared" si="12"/>
        <v>0.66101030261746918</v>
      </c>
      <c r="P57" s="219">
        <f t="shared" si="13"/>
        <v>339.35810036433617</v>
      </c>
      <c r="Q57" s="219">
        <f t="shared" si="14"/>
        <v>268.78505912694527</v>
      </c>
      <c r="R57" s="219">
        <f t="shared" si="19"/>
        <v>349.87329997278459</v>
      </c>
      <c r="S57" s="220">
        <f t="shared" si="20"/>
        <v>348.95163994704905</v>
      </c>
      <c r="T57" s="221">
        <f t="shared" si="15"/>
        <v>20.641899635663833</v>
      </c>
      <c r="U57" s="222">
        <f t="shared" si="16"/>
        <v>91.214940873054729</v>
      </c>
      <c r="V57" s="223">
        <f t="shared" si="17"/>
        <v>10.126700027215406</v>
      </c>
      <c r="W57" s="223">
        <f t="shared" si="18"/>
        <v>11.048360052950954</v>
      </c>
      <c r="X57" s="223"/>
      <c r="Y57" s="280"/>
    </row>
    <row r="58" spans="13:25" hidden="1">
      <c r="M58" s="287">
        <f t="shared" si="11"/>
        <v>37.489809025778747</v>
      </c>
      <c r="N58" s="288">
        <f t="shared" si="2"/>
        <v>37.489809025778747</v>
      </c>
      <c r="O58" s="289">
        <f t="shared" si="12"/>
        <v>0.65432060344372689</v>
      </c>
      <c r="P58" s="219">
        <f t="shared" si="13"/>
        <v>339.50585417480727</v>
      </c>
      <c r="Q58" s="219">
        <f t="shared" si="14"/>
        <v>268.63730531647417</v>
      </c>
      <c r="R58" s="219">
        <f t="shared" si="19"/>
        <v>353.43967518225156</v>
      </c>
      <c r="S58" s="220">
        <f t="shared" si="20"/>
        <v>345.38526473758208</v>
      </c>
      <c r="T58" s="221">
        <f t="shared" si="15"/>
        <v>20.494145825192732</v>
      </c>
      <c r="U58" s="222">
        <f t="shared" si="16"/>
        <v>91.362694683525831</v>
      </c>
      <c r="V58" s="223">
        <f t="shared" si="17"/>
        <v>6.5603248177484375</v>
      </c>
      <c r="W58" s="223">
        <f t="shared" si="18"/>
        <v>14.614735262417923</v>
      </c>
      <c r="X58" s="223"/>
      <c r="Y58" s="280"/>
    </row>
    <row r="59" spans="13:25" hidden="1">
      <c r="M59" s="287">
        <f t="shared" si="11"/>
        <v>37.10651749691116</v>
      </c>
      <c r="N59" s="288">
        <f t="shared" si="2"/>
        <v>37.10651749691116</v>
      </c>
      <c r="O59" s="289">
        <f t="shared" si="12"/>
        <v>0.6476309042699846</v>
      </c>
      <c r="P59" s="219">
        <f t="shared" si="13"/>
        <v>339.64663313468435</v>
      </c>
      <c r="Q59" s="219">
        <f t="shared" si="14"/>
        <v>268.49652635659709</v>
      </c>
      <c r="R59" s="219">
        <f t="shared" si="19"/>
        <v>355.04188143035026</v>
      </c>
      <c r="S59" s="220">
        <f t="shared" si="20"/>
        <v>343.78305848948338</v>
      </c>
      <c r="T59" s="221">
        <f t="shared" si="15"/>
        <v>20.35336686531565</v>
      </c>
      <c r="U59" s="222">
        <f t="shared" si="16"/>
        <v>91.503473643402913</v>
      </c>
      <c r="V59" s="223">
        <f t="shared" si="17"/>
        <v>4.9581185696497414</v>
      </c>
      <c r="W59" s="223">
        <f t="shared" si="18"/>
        <v>16.216941510516619</v>
      </c>
      <c r="X59" s="223"/>
      <c r="Y59" s="280"/>
    </row>
    <row r="60" spans="13:25" hidden="1">
      <c r="M60" s="287">
        <f t="shared" si="11"/>
        <v>36.723225968043572</v>
      </c>
      <c r="N60" s="288">
        <f t="shared" si="2"/>
        <v>36.723225968043572</v>
      </c>
      <c r="O60" s="289">
        <f t="shared" si="12"/>
        <v>0.64094120509624231</v>
      </c>
      <c r="P60" s="219">
        <f t="shared" si="13"/>
        <v>339.78061966107043</v>
      </c>
      <c r="Q60" s="219">
        <f t="shared" si="14"/>
        <v>268.36253983021101</v>
      </c>
      <c r="R60" s="219">
        <f t="shared" si="19"/>
        <v>356.24155892616676</v>
      </c>
      <c r="S60" s="220">
        <f t="shared" si="20"/>
        <v>342.58338099366688</v>
      </c>
      <c r="T60" s="221">
        <f t="shared" si="15"/>
        <v>20.219380338929568</v>
      </c>
      <c r="U60" s="222">
        <f t="shared" si="16"/>
        <v>91.637460169788994</v>
      </c>
      <c r="V60" s="223">
        <f t="shared" si="17"/>
        <v>3.7584410738332394</v>
      </c>
      <c r="W60" s="223">
        <f t="shared" si="18"/>
        <v>17.416619006333121</v>
      </c>
      <c r="X60" s="223"/>
      <c r="Y60" s="280"/>
    </row>
    <row r="61" spans="13:25" hidden="1">
      <c r="M61" s="287">
        <f t="shared" si="11"/>
        <v>36.339934439175984</v>
      </c>
      <c r="N61" s="288">
        <f t="shared" si="2"/>
        <v>36.339934439175984</v>
      </c>
      <c r="O61" s="289">
        <f t="shared" si="12"/>
        <v>0.6342515059224999</v>
      </c>
      <c r="P61" s="219">
        <f t="shared" si="13"/>
        <v>339.90798662542943</v>
      </c>
      <c r="Q61" s="219">
        <f t="shared" si="14"/>
        <v>268.23517286585201</v>
      </c>
      <c r="R61" s="219">
        <f t="shared" si="19"/>
        <v>357.22688673148627</v>
      </c>
      <c r="S61" s="220">
        <f t="shared" si="20"/>
        <v>341.59805318834736</v>
      </c>
      <c r="T61" s="221">
        <f t="shared" si="15"/>
        <v>20.09201337457057</v>
      </c>
      <c r="U61" s="222">
        <f t="shared" si="16"/>
        <v>91.764827134147993</v>
      </c>
      <c r="V61" s="223">
        <f t="shared" si="17"/>
        <v>2.7731132685137254</v>
      </c>
      <c r="W61" s="223">
        <f t="shared" si="18"/>
        <v>18.401946811652635</v>
      </c>
      <c r="X61" s="223"/>
      <c r="Y61" s="280"/>
    </row>
    <row r="62" spans="13:25" hidden="1">
      <c r="M62" s="287">
        <f t="shared" si="11"/>
        <v>35.956642910308396</v>
      </c>
      <c r="N62" s="288">
        <f t="shared" si="2"/>
        <v>35.956642910308396</v>
      </c>
      <c r="O62" s="289">
        <f t="shared" si="12"/>
        <v>0.62756180674875761</v>
      </c>
      <c r="P62" s="219">
        <f t="shared" si="13"/>
        <v>340.0288979430286</v>
      </c>
      <c r="Q62" s="219">
        <f t="shared" si="14"/>
        <v>268.11426154825284</v>
      </c>
      <c r="R62" s="219">
        <f t="shared" si="19"/>
        <v>358.0718107774</v>
      </c>
      <c r="S62" s="220">
        <f t="shared" si="20"/>
        <v>340.75312914243364</v>
      </c>
      <c r="T62" s="221">
        <f t="shared" si="15"/>
        <v>19.971102056971404</v>
      </c>
      <c r="U62" s="222">
        <f t="shared" si="16"/>
        <v>91.885738451747159</v>
      </c>
      <c r="V62" s="223">
        <f t="shared" si="17"/>
        <v>1.9281892225999968</v>
      </c>
      <c r="W62" s="223">
        <f t="shared" si="18"/>
        <v>19.246870857566364</v>
      </c>
      <c r="X62" s="223"/>
      <c r="Y62" s="280"/>
    </row>
    <row r="63" spans="13:25" hidden="1">
      <c r="M63" s="287">
        <f t="shared" si="11"/>
        <v>35.573351381440808</v>
      </c>
      <c r="N63" s="288">
        <f t="shared" si="2"/>
        <v>35.573351381440808</v>
      </c>
      <c r="O63" s="289">
        <f t="shared" si="12"/>
        <v>0.62087210757501532</v>
      </c>
      <c r="P63" s="219">
        <f t="shared" si="13"/>
        <v>340.14350911351357</v>
      </c>
      <c r="Q63" s="219">
        <f t="shared" si="14"/>
        <v>267.99965037776786</v>
      </c>
      <c r="R63" s="219">
        <f t="shared" si="19"/>
        <v>358.81467207555187</v>
      </c>
      <c r="S63" s="220">
        <f t="shared" si="20"/>
        <v>340.01026784428171</v>
      </c>
      <c r="T63" s="221">
        <f t="shared" si="15"/>
        <v>19.856490886486426</v>
      </c>
      <c r="U63" s="222">
        <f t="shared" si="16"/>
        <v>92.000349622232136</v>
      </c>
      <c r="V63" s="223">
        <f t="shared" si="17"/>
        <v>1.1853279244481314</v>
      </c>
      <c r="W63" s="223">
        <f t="shared" si="18"/>
        <v>19.989732155718286</v>
      </c>
      <c r="X63" s="223"/>
      <c r="Y63" s="280"/>
    </row>
    <row r="64" spans="13:25" hidden="1">
      <c r="M64" s="287">
        <f t="shared" si="11"/>
        <v>35.190059852573221</v>
      </c>
      <c r="N64" s="288">
        <f t="shared" si="2"/>
        <v>35.190059852573221</v>
      </c>
      <c r="O64" s="289">
        <f t="shared" si="12"/>
        <v>0.61418240840127303</v>
      </c>
      <c r="P64" s="219">
        <f t="shared" si="13"/>
        <v>340.25196771741093</v>
      </c>
      <c r="Q64" s="219">
        <f t="shared" si="14"/>
        <v>267.8911917738705</v>
      </c>
      <c r="R64" s="219">
        <f t="shared" si="19"/>
        <v>359.47846636603703</v>
      </c>
      <c r="S64" s="220">
        <f t="shared" si="20"/>
        <v>339.34647355379661</v>
      </c>
      <c r="T64" s="221">
        <f t="shared" si="15"/>
        <v>19.748032282589065</v>
      </c>
      <c r="U64" s="222">
        <f t="shared" si="16"/>
        <v>92.108808226129497</v>
      </c>
      <c r="V64" s="223">
        <f t="shared" si="17"/>
        <v>0.52153363396297436</v>
      </c>
      <c r="W64" s="223">
        <f t="shared" si="18"/>
        <v>20.653526446203387</v>
      </c>
      <c r="X64" s="223"/>
      <c r="Y64" s="280"/>
    </row>
    <row r="65" spans="13:25" hidden="1">
      <c r="M65" s="287">
        <f t="shared" si="11"/>
        <v>34.806768323705633</v>
      </c>
      <c r="N65" s="288">
        <f t="shared" si="2"/>
        <v>34.806768323705633</v>
      </c>
      <c r="O65" s="289">
        <f t="shared" si="12"/>
        <v>0.60749270922753074</v>
      </c>
      <c r="P65" s="219">
        <f t="shared" si="13"/>
        <v>340.35441387279963</v>
      </c>
      <c r="Q65" s="219">
        <f t="shared" si="14"/>
        <v>267.78874561848181</v>
      </c>
      <c r="R65" s="219">
        <f t="shared" si="19"/>
        <v>360.07830893772882</v>
      </c>
      <c r="S65" s="220">
        <f t="shared" si="20"/>
        <v>338.74663098210482</v>
      </c>
      <c r="T65" s="221">
        <f t="shared" si="15"/>
        <v>19.645586127200374</v>
      </c>
      <c r="U65" s="222">
        <f t="shared" si="16"/>
        <v>92.211254381518188</v>
      </c>
      <c r="V65" s="223">
        <f t="shared" si="17"/>
        <v>-7.8308937728820638E-2</v>
      </c>
      <c r="W65" s="223">
        <f t="shared" si="18"/>
        <v>21.253369017895182</v>
      </c>
      <c r="X65" s="223"/>
      <c r="Y65" s="280"/>
    </row>
    <row r="66" spans="13:25" hidden="1">
      <c r="M66" s="287">
        <f t="shared" si="11"/>
        <v>34.423476794838045</v>
      </c>
      <c r="N66" s="288">
        <f t="shared" si="2"/>
        <v>34.423476794838045</v>
      </c>
      <c r="O66" s="289">
        <f t="shared" si="12"/>
        <v>0.60080301005378844</v>
      </c>
      <c r="P66" s="219">
        <f t="shared" si="13"/>
        <v>340.45098065590645</v>
      </c>
      <c r="Q66" s="219">
        <f t="shared" si="14"/>
        <v>267.69217883537499</v>
      </c>
      <c r="R66" s="219">
        <f t="shared" si="19"/>
        <v>360.62478524136833</v>
      </c>
      <c r="S66" s="220">
        <f t="shared" si="20"/>
        <v>338.20015467846525</v>
      </c>
      <c r="T66" s="221">
        <f t="shared" si="15"/>
        <v>19.549019344093551</v>
      </c>
      <c r="U66" s="222">
        <f t="shared" si="16"/>
        <v>92.307821164625011</v>
      </c>
      <c r="V66" s="223">
        <f t="shared" si="17"/>
        <v>-0.62478524136832903</v>
      </c>
      <c r="W66" s="223">
        <f t="shared" si="18"/>
        <v>21.799845321534747</v>
      </c>
      <c r="X66" s="223"/>
      <c r="Y66" s="280"/>
    </row>
    <row r="67" spans="13:25" hidden="1">
      <c r="M67" s="287">
        <f t="shared" si="11"/>
        <v>34.040185265970457</v>
      </c>
      <c r="N67" s="288">
        <f t="shared" si="2"/>
        <v>34.040185265970457</v>
      </c>
      <c r="O67" s="289">
        <f t="shared" si="12"/>
        <v>0.59411331088004615</v>
      </c>
      <c r="P67" s="219">
        <f t="shared" si="13"/>
        <v>340.54179448896309</v>
      </c>
      <c r="Q67" s="219">
        <f t="shared" si="14"/>
        <v>267.60136500231835</v>
      </c>
      <c r="R67" s="219">
        <f t="shared" si="19"/>
        <v>361.12566173543274</v>
      </c>
      <c r="S67" s="220">
        <f t="shared" si="20"/>
        <v>337.6992781844009</v>
      </c>
      <c r="T67" s="221">
        <f t="shared" si="15"/>
        <v>19.458205511036908</v>
      </c>
      <c r="U67" s="222">
        <f t="shared" si="16"/>
        <v>92.398634997681654</v>
      </c>
      <c r="V67" s="223">
        <f t="shared" si="17"/>
        <v>-1.1256617354327432</v>
      </c>
      <c r="W67" s="223">
        <f t="shared" si="18"/>
        <v>22.300721815599104</v>
      </c>
      <c r="X67" s="223"/>
      <c r="Y67" s="280"/>
    </row>
    <row r="68" spans="13:25" hidden="1">
      <c r="M68" s="287">
        <f t="shared" si="11"/>
        <v>33.65689373710287</v>
      </c>
      <c r="N68" s="288">
        <f t="shared" si="2"/>
        <v>33.65689373710287</v>
      </c>
      <c r="O68" s="289">
        <f t="shared" si="12"/>
        <v>0.58742361170630386</v>
      </c>
      <c r="P68" s="219">
        <f t="shared" si="13"/>
        <v>340.6269754982925</v>
      </c>
      <c r="Q68" s="219">
        <f t="shared" si="14"/>
        <v>267.51618399298894</v>
      </c>
      <c r="R68" s="219">
        <f t="shared" si="19"/>
        <v>361.58684350731454</v>
      </c>
      <c r="S68" s="220">
        <f t="shared" si="20"/>
        <v>337.23809641251904</v>
      </c>
      <c r="T68" s="221">
        <f t="shared" si="15"/>
        <v>19.373024501707505</v>
      </c>
      <c r="U68" s="222">
        <f t="shared" si="16"/>
        <v>92.483816007011058</v>
      </c>
      <c r="V68" s="223">
        <f t="shared" si="17"/>
        <v>-1.5868435073145406</v>
      </c>
      <c r="W68" s="223">
        <f t="shared" si="18"/>
        <v>22.761903587480958</v>
      </c>
      <c r="X68" s="223"/>
      <c r="Y68" s="280"/>
    </row>
    <row r="69" spans="13:25" hidden="1">
      <c r="M69" s="287">
        <f t="shared" si="11"/>
        <v>33.273602208235282</v>
      </c>
      <c r="N69" s="288">
        <f t="shared" si="2"/>
        <v>33.273602208235282</v>
      </c>
      <c r="O69" s="289">
        <f t="shared" si="12"/>
        <v>0.58073391253256157</v>
      </c>
      <c r="P69" s="219">
        <f t="shared" si="13"/>
        <v>340.70663784527267</v>
      </c>
      <c r="Q69" s="219">
        <f t="shared" si="14"/>
        <v>267.43652164600877</v>
      </c>
      <c r="R69" s="219">
        <f t="shared" si="19"/>
        <v>362.01294868223539</v>
      </c>
      <c r="S69" s="220">
        <f t="shared" si="20"/>
        <v>336.81199123759825</v>
      </c>
      <c r="T69" s="221">
        <f t="shared" si="15"/>
        <v>19.293362154727333</v>
      </c>
      <c r="U69" s="222">
        <f t="shared" si="16"/>
        <v>92.563478353991229</v>
      </c>
      <c r="V69" s="223">
        <f t="shared" si="17"/>
        <v>-2.0129486822353897</v>
      </c>
      <c r="W69" s="223">
        <f t="shared" si="18"/>
        <v>23.188008762401751</v>
      </c>
      <c r="X69" s="223"/>
      <c r="Y69" s="280"/>
    </row>
    <row r="70" spans="13:25" hidden="1">
      <c r="M70" s="287">
        <f t="shared" si="11"/>
        <v>32.890310679367694</v>
      </c>
      <c r="N70" s="288">
        <f t="shared" si="2"/>
        <v>32.890310679367694</v>
      </c>
      <c r="O70" s="289">
        <f t="shared" si="12"/>
        <v>0.57404421335881928</v>
      </c>
      <c r="P70" s="219">
        <f t="shared" si="13"/>
        <v>340.78089003254212</v>
      </c>
      <c r="Q70" s="219">
        <f t="shared" si="14"/>
        <v>267.36226945873926</v>
      </c>
      <c r="R70" s="219">
        <f t="shared" si="19"/>
        <v>362.40767214011584</v>
      </c>
      <c r="S70" s="220">
        <f t="shared" si="20"/>
        <v>336.41726777971775</v>
      </c>
      <c r="T70" s="221">
        <f t="shared" si="15"/>
        <v>19.219109967457882</v>
      </c>
      <c r="U70" s="222">
        <f t="shared" si="16"/>
        <v>92.637730541260737</v>
      </c>
      <c r="V70" s="223">
        <f t="shared" si="17"/>
        <v>-2.4076721401158352</v>
      </c>
      <c r="W70" s="223">
        <f t="shared" si="18"/>
        <v>23.582732220282253</v>
      </c>
      <c r="X70" s="223"/>
      <c r="Y70" s="280"/>
    </row>
    <row r="71" spans="13:25" hidden="1">
      <c r="M71" s="287">
        <f t="shared" si="11"/>
        <v>32.507019150500106</v>
      </c>
      <c r="N71" s="288">
        <f t="shared" si="2"/>
        <v>32.507019150500106</v>
      </c>
      <c r="O71" s="289">
        <f t="shared" si="12"/>
        <v>0.56735451418507699</v>
      </c>
      <c r="P71" s="219">
        <f t="shared" si="13"/>
        <v>340.84983518756542</v>
      </c>
      <c r="Q71" s="219">
        <f t="shared" si="14"/>
        <v>267.29332430371602</v>
      </c>
      <c r="R71" s="219">
        <f t="shared" si="19"/>
        <v>362.77402608775725</v>
      </c>
      <c r="S71" s="220">
        <f t="shared" si="20"/>
        <v>336.05091383207639</v>
      </c>
      <c r="T71" s="221">
        <f t="shared" si="15"/>
        <v>19.150164812434582</v>
      </c>
      <c r="U71" s="222">
        <f t="shared" si="16"/>
        <v>92.70667569628398</v>
      </c>
      <c r="V71" s="223">
        <f t="shared" si="17"/>
        <v>-2.7740260877572496</v>
      </c>
      <c r="W71" s="223">
        <f t="shared" si="18"/>
        <v>23.94908616792361</v>
      </c>
      <c r="X71" s="223"/>
      <c r="Y71" s="280"/>
    </row>
    <row r="72" spans="13:25" hidden="1">
      <c r="M72" s="287">
        <f t="shared" si="11"/>
        <v>32.123727621632518</v>
      </c>
      <c r="N72" s="288">
        <f t="shared" ref="N72:N135" si="21">N71-step</f>
        <v>32.123727621632518</v>
      </c>
      <c r="O72" s="289">
        <f t="shared" si="12"/>
        <v>0.56066481501133469</v>
      </c>
      <c r="P72" s="219">
        <f t="shared" si="13"/>
        <v>340.9135713254546</v>
      </c>
      <c r="Q72" s="219">
        <f t="shared" si="14"/>
        <v>267.22958816582678</v>
      </c>
      <c r="R72" s="219">
        <f t="shared" ref="R72:R103" si="22">IFERROR(DEGREES(grt_+ACOS((SIN(h_)-SIN(d_)*SIN(O72))/COS(d_)/COS(O72))),#N/A)</f>
        <v>363.11450499848615</v>
      </c>
      <c r="S72" s="220">
        <f t="shared" ref="S72:S103" si="23">IFERROR(DEGREES(grt_-ACOS((SIN(h_)-SIN(d_)*SIN(O72))/COS(d_)/COS(O72))),#N/A)</f>
        <v>335.71043492134748</v>
      </c>
      <c r="T72" s="221">
        <f t="shared" si="15"/>
        <v>19.086428674545402</v>
      </c>
      <c r="U72" s="222">
        <f t="shared" si="16"/>
        <v>92.770411834173217</v>
      </c>
      <c r="V72" s="223">
        <f t="shared" si="17"/>
        <v>-3.1145049984861544</v>
      </c>
      <c r="W72" s="223">
        <f t="shared" si="18"/>
        <v>24.289565078652515</v>
      </c>
      <c r="X72" s="223"/>
      <c r="Y72" s="280"/>
    </row>
    <row r="73" spans="13:25" hidden="1">
      <c r="M73" s="287">
        <f t="shared" si="11"/>
        <v>31.740436092764931</v>
      </c>
      <c r="N73" s="288">
        <f t="shared" si="21"/>
        <v>31.740436092764931</v>
      </c>
      <c r="O73" s="289">
        <f t="shared" si="12"/>
        <v>0.5539751158375924</v>
      </c>
      <c r="P73" s="219">
        <f t="shared" si="13"/>
        <v>340.97219159275465</v>
      </c>
      <c r="Q73" s="219">
        <f t="shared" si="14"/>
        <v>267.17096789852673</v>
      </c>
      <c r="R73" s="219">
        <f t="shared" si="22"/>
        <v>363.43120215350496</v>
      </c>
      <c r="S73" s="220">
        <f t="shared" si="23"/>
        <v>335.39373776632863</v>
      </c>
      <c r="T73" s="221">
        <f t="shared" si="15"/>
        <v>19.027808407245345</v>
      </c>
      <c r="U73" s="222">
        <f t="shared" si="16"/>
        <v>92.829032101473274</v>
      </c>
      <c r="V73" s="223">
        <f t="shared" si="17"/>
        <v>-3.4312021535049553</v>
      </c>
      <c r="W73" s="223">
        <f t="shared" si="18"/>
        <v>24.606262233671373</v>
      </c>
      <c r="X73" s="223"/>
      <c r="Y73" s="280"/>
    </row>
    <row r="74" spans="13:25" hidden="1">
      <c r="M74" s="287">
        <f t="shared" si="11"/>
        <v>31.357144563897343</v>
      </c>
      <c r="N74" s="288">
        <f t="shared" si="21"/>
        <v>31.357144563897343</v>
      </c>
      <c r="O74" s="289">
        <f t="shared" si="12"/>
        <v>0.54728541666385011</v>
      </c>
      <c r="P74" s="219">
        <f t="shared" si="13"/>
        <v>341.02578449372248</v>
      </c>
      <c r="Q74" s="219">
        <f t="shared" si="14"/>
        <v>267.11737499755895</v>
      </c>
      <c r="R74" s="219">
        <f t="shared" si="22"/>
        <v>363.72589412216502</v>
      </c>
      <c r="S74" s="220">
        <f t="shared" si="23"/>
        <v>335.09904579766862</v>
      </c>
      <c r="T74" s="221">
        <f t="shared" si="15"/>
        <v>18.974215506277517</v>
      </c>
      <c r="U74" s="222">
        <f t="shared" si="16"/>
        <v>92.882625002441046</v>
      </c>
      <c r="V74" s="223">
        <f t="shared" si="17"/>
        <v>-3.7258941221650161</v>
      </c>
      <c r="W74" s="223">
        <f t="shared" si="18"/>
        <v>24.900954202331377</v>
      </c>
      <c r="X74" s="223"/>
      <c r="Y74" s="280"/>
    </row>
    <row r="75" spans="13:25" hidden="1">
      <c r="M75" s="287">
        <f t="shared" si="11"/>
        <v>30.973853035029755</v>
      </c>
      <c r="N75" s="288">
        <f t="shared" si="21"/>
        <v>30.973853035029755</v>
      </c>
      <c r="O75" s="289">
        <f t="shared" si="12"/>
        <v>0.54059571749010782</v>
      </c>
      <c r="P75" s="219">
        <f t="shared" si="13"/>
        <v>341.0744341004833</v>
      </c>
      <c r="Q75" s="219">
        <f t="shared" si="14"/>
        <v>267.06872539079814</v>
      </c>
      <c r="R75" s="219">
        <f t="shared" si="22"/>
        <v>364.00010336584427</v>
      </c>
      <c r="S75" s="220">
        <f t="shared" si="23"/>
        <v>334.82483655398937</v>
      </c>
      <c r="T75" s="221">
        <f t="shared" si="15"/>
        <v>18.925565899516698</v>
      </c>
      <c r="U75" s="222">
        <f t="shared" si="16"/>
        <v>92.931274609201864</v>
      </c>
      <c r="V75" s="223">
        <f t="shared" si="17"/>
        <v>-4.000103365844268</v>
      </c>
      <c r="W75" s="223">
        <f t="shared" si="18"/>
        <v>25.175163446010629</v>
      </c>
      <c r="X75" s="223"/>
      <c r="Y75" s="280"/>
    </row>
    <row r="76" spans="13:25" hidden="1">
      <c r="M76" s="287">
        <f t="shared" si="11"/>
        <v>30.590561506162167</v>
      </c>
      <c r="N76" s="288">
        <f t="shared" si="21"/>
        <v>30.590561506162167</v>
      </c>
      <c r="O76" s="289">
        <f t="shared" si="12"/>
        <v>0.53390601831636542</v>
      </c>
      <c r="P76" s="219">
        <f t="shared" si="13"/>
        <v>341.11822024831014</v>
      </c>
      <c r="Q76" s="219">
        <f t="shared" si="14"/>
        <v>267.0249392429713</v>
      </c>
      <c r="R76" s="219">
        <f t="shared" si="22"/>
        <v>364.25514552753094</v>
      </c>
      <c r="S76" s="220">
        <f t="shared" si="23"/>
        <v>334.5697943923027</v>
      </c>
      <c r="T76" s="221">
        <f t="shared" si="15"/>
        <v>18.881779751689862</v>
      </c>
      <c r="U76" s="222">
        <f t="shared" si="16"/>
        <v>92.9750607570287</v>
      </c>
      <c r="V76" s="223">
        <f t="shared" si="17"/>
        <v>-4.2551455275309422</v>
      </c>
      <c r="W76" s="223">
        <f t="shared" si="18"/>
        <v>25.430205607697303</v>
      </c>
      <c r="X76" s="223"/>
      <c r="Y76" s="280"/>
    </row>
    <row r="77" spans="13:25" hidden="1">
      <c r="M77" s="287">
        <f t="shared" si="11"/>
        <v>30.20726997729458</v>
      </c>
      <c r="N77" s="288">
        <f t="shared" si="21"/>
        <v>30.20726997729458</v>
      </c>
      <c r="O77" s="289">
        <f t="shared" si="12"/>
        <v>0.52721631914262312</v>
      </c>
      <c r="P77" s="219">
        <f t="shared" si="13"/>
        <v>341.15721871714993</v>
      </c>
      <c r="Q77" s="219">
        <f t="shared" si="14"/>
        <v>266.98594077413151</v>
      </c>
      <c r="R77" s="219">
        <f t="shared" si="22"/>
        <v>364.49216575788927</v>
      </c>
      <c r="S77" s="220">
        <f t="shared" si="23"/>
        <v>334.33277416194437</v>
      </c>
      <c r="T77" s="221">
        <f t="shared" si="15"/>
        <v>18.842781282850069</v>
      </c>
      <c r="U77" s="222">
        <f t="shared" si="16"/>
        <v>93.014059225868493</v>
      </c>
      <c r="V77" s="223">
        <f t="shared" si="17"/>
        <v>-4.4921657578892678</v>
      </c>
      <c r="W77" s="223">
        <f t="shared" si="18"/>
        <v>25.667225838055629</v>
      </c>
      <c r="X77" s="223"/>
      <c r="Y77" s="280"/>
    </row>
    <row r="78" spans="13:25" hidden="1">
      <c r="M78" s="287">
        <f t="shared" si="11"/>
        <v>29.823978448426992</v>
      </c>
      <c r="N78" s="288">
        <f t="shared" si="21"/>
        <v>29.823978448426992</v>
      </c>
      <c r="O78" s="289">
        <f t="shared" si="12"/>
        <v>0.52052661996888083</v>
      </c>
      <c r="P78" s="219">
        <f t="shared" si="13"/>
        <v>341.1915014004162</v>
      </c>
      <c r="Q78" s="219">
        <f t="shared" si="14"/>
        <v>266.95165809086524</v>
      </c>
      <c r="R78" s="219">
        <f t="shared" si="22"/>
        <v>364.71216703566245</v>
      </c>
      <c r="S78" s="220">
        <f t="shared" si="23"/>
        <v>334.11277288417119</v>
      </c>
      <c r="T78" s="221">
        <f t="shared" si="15"/>
        <v>18.8084985995838</v>
      </c>
      <c r="U78" s="222">
        <f t="shared" si="16"/>
        <v>93.048341909134763</v>
      </c>
      <c r="V78" s="223">
        <f t="shared" si="17"/>
        <v>-4.7121670356624463</v>
      </c>
      <c r="W78" s="223">
        <f t="shared" si="18"/>
        <v>25.887227115828807</v>
      </c>
      <c r="X78" s="223"/>
      <c r="Y78" s="280"/>
    </row>
    <row r="79" spans="13:25" hidden="1">
      <c r="M79" s="287">
        <f t="shared" si="11"/>
        <v>29.440686919559404</v>
      </c>
      <c r="N79" s="288">
        <f t="shared" si="21"/>
        <v>29.440686919559404</v>
      </c>
      <c r="O79" s="289">
        <f t="shared" si="12"/>
        <v>0.51383692079513854</v>
      </c>
      <c r="P79" s="219">
        <f t="shared" si="13"/>
        <v>341.22113646196692</v>
      </c>
      <c r="Q79" s="219">
        <f t="shared" si="14"/>
        <v>266.92202302931452</v>
      </c>
      <c r="R79" s="219">
        <f t="shared" si="22"/>
        <v>364.91603253831704</v>
      </c>
      <c r="S79" s="220">
        <f t="shared" si="23"/>
        <v>333.90890738151654</v>
      </c>
      <c r="T79" s="221">
        <f t="shared" si="15"/>
        <v>18.778863538033079</v>
      </c>
      <c r="U79" s="222">
        <f t="shared" si="16"/>
        <v>93.077976970685484</v>
      </c>
      <c r="V79" s="223">
        <f t="shared" si="17"/>
        <v>-4.9160325383170402</v>
      </c>
      <c r="W79" s="223">
        <f t="shared" si="18"/>
        <v>26.091092618483458</v>
      </c>
      <c r="X79" s="223"/>
      <c r="Y79" s="280"/>
    </row>
    <row r="80" spans="13:25" hidden="1">
      <c r="M80" s="287">
        <f t="shared" si="11"/>
        <v>29.057395390691816</v>
      </c>
      <c r="N80" s="288">
        <f t="shared" si="21"/>
        <v>29.057395390691816</v>
      </c>
      <c r="O80" s="289">
        <f t="shared" si="12"/>
        <v>0.50714722162139625</v>
      </c>
      <c r="P80" s="219">
        <f t="shared" si="13"/>
        <v>341.24618848210309</v>
      </c>
      <c r="Q80" s="219">
        <f t="shared" si="14"/>
        <v>266.89697100917834</v>
      </c>
      <c r="R80" s="219">
        <f t="shared" si="22"/>
        <v>365.10454352034219</v>
      </c>
      <c r="S80" s="220">
        <f t="shared" si="23"/>
        <v>333.72039639949145</v>
      </c>
      <c r="T80" s="221">
        <f t="shared" si="15"/>
        <v>18.753811517896906</v>
      </c>
      <c r="U80" s="222">
        <f t="shared" si="16"/>
        <v>93.103028990821656</v>
      </c>
      <c r="V80" s="223">
        <f t="shared" si="17"/>
        <v>-5.1045435203421903</v>
      </c>
      <c r="W80" s="223">
        <f t="shared" si="18"/>
        <v>26.279603600508551</v>
      </c>
      <c r="X80" s="223"/>
      <c r="Y80" s="280"/>
    </row>
    <row r="81" spans="13:25" hidden="1">
      <c r="M81" s="287">
        <f t="shared" si="11"/>
        <v>28.674103861824229</v>
      </c>
      <c r="N81" s="288">
        <f t="shared" si="21"/>
        <v>28.674103861824229</v>
      </c>
      <c r="O81" s="289">
        <f t="shared" si="12"/>
        <v>0.50045752244765396</v>
      </c>
      <c r="P81" s="219">
        <f t="shared" si="13"/>
        <v>341.26671859334454</v>
      </c>
      <c r="Q81" s="219">
        <f t="shared" si="14"/>
        <v>266.8764408979369</v>
      </c>
      <c r="R81" s="219">
        <f t="shared" si="22"/>
        <v>365.2783937507204</v>
      </c>
      <c r="S81" s="220">
        <f t="shared" si="23"/>
        <v>333.54654616911324</v>
      </c>
      <c r="T81" s="221">
        <f t="shared" si="15"/>
        <v>18.733281406655465</v>
      </c>
      <c r="U81" s="222">
        <f t="shared" si="16"/>
        <v>93.123559102063098</v>
      </c>
      <c r="V81" s="223">
        <f t="shared" si="17"/>
        <v>-5.2783937507203973</v>
      </c>
      <c r="W81" s="223">
        <f t="shared" si="18"/>
        <v>26.453453830886758</v>
      </c>
      <c r="X81" s="223"/>
      <c r="Y81" s="280"/>
    </row>
    <row r="82" spans="13:25" hidden="1">
      <c r="M82" s="287">
        <f t="shared" si="11"/>
        <v>28.290812332956641</v>
      </c>
      <c r="N82" s="288">
        <f t="shared" si="21"/>
        <v>28.290812332956641</v>
      </c>
      <c r="O82" s="289">
        <f t="shared" si="12"/>
        <v>0.49376782327391167</v>
      </c>
      <c r="P82" s="219">
        <f t="shared" si="13"/>
        <v>341.28278460666809</v>
      </c>
      <c r="Q82" s="219">
        <f t="shared" si="14"/>
        <v>266.86037488461335</v>
      </c>
      <c r="R82" s="219">
        <f t="shared" si="22"/>
        <v>365.43820128035634</v>
      </c>
      <c r="S82" s="220">
        <f t="shared" si="23"/>
        <v>333.3867386394773</v>
      </c>
      <c r="T82" s="221">
        <f t="shared" si="15"/>
        <v>18.717215393331912</v>
      </c>
      <c r="U82" s="222">
        <f t="shared" si="16"/>
        <v>93.13962511538665</v>
      </c>
      <c r="V82" s="223">
        <f t="shared" si="17"/>
        <v>-5.4382012803563384</v>
      </c>
      <c r="W82" s="223">
        <f t="shared" si="18"/>
        <v>26.613261360522699</v>
      </c>
      <c r="X82" s="223"/>
      <c r="Y82" s="280"/>
    </row>
    <row r="83" spans="13:25" hidden="1">
      <c r="M83" s="287">
        <f t="shared" si="11"/>
        <v>27.907520804089053</v>
      </c>
      <c r="N83" s="288">
        <f t="shared" si="21"/>
        <v>27.907520804089053</v>
      </c>
      <c r="O83" s="289">
        <f t="shared" si="12"/>
        <v>0.48707812410016937</v>
      </c>
      <c r="P83" s="219">
        <f t="shared" si="13"/>
        <v>341.29444112883152</v>
      </c>
      <c r="Q83" s="219">
        <f t="shared" si="14"/>
        <v>266.84871836244992</v>
      </c>
      <c r="R83" s="219">
        <f t="shared" si="22"/>
        <v>365.58451811260392</v>
      </c>
      <c r="S83" s="220">
        <f t="shared" si="23"/>
        <v>333.24042180722972</v>
      </c>
      <c r="T83" s="221">
        <f t="shared" si="15"/>
        <v>18.705558871168478</v>
      </c>
      <c r="U83" s="222">
        <f t="shared" si="16"/>
        <v>93.151281637550085</v>
      </c>
      <c r="V83" s="223">
        <f t="shared" si="17"/>
        <v>-5.5845181126039165</v>
      </c>
      <c r="W83" s="223">
        <f t="shared" si="18"/>
        <v>26.759578192770277</v>
      </c>
      <c r="X83" s="223"/>
      <c r="Y83" s="280"/>
    </row>
    <row r="84" spans="13:25" hidden="1">
      <c r="M84" s="287">
        <f t="shared" si="11"/>
        <v>27.524229275221465</v>
      </c>
      <c r="N84" s="288">
        <f t="shared" si="21"/>
        <v>27.524229275221465</v>
      </c>
      <c r="O84" s="289">
        <f t="shared" si="12"/>
        <v>0.48038842492642708</v>
      </c>
      <c r="P84" s="219">
        <f t="shared" si="13"/>
        <v>341.30173967134863</v>
      </c>
      <c r="Q84" s="219">
        <f t="shared" si="14"/>
        <v>266.84141981993275</v>
      </c>
      <c r="R84" s="219">
        <f t="shared" si="22"/>
        <v>365.71783820862328</v>
      </c>
      <c r="S84" s="220">
        <f t="shared" si="23"/>
        <v>333.10710171121036</v>
      </c>
      <c r="T84" s="221">
        <f t="shared" si="15"/>
        <v>18.698260328651372</v>
      </c>
      <c r="U84" s="222">
        <f t="shared" si="16"/>
        <v>93.158580180067247</v>
      </c>
      <c r="V84" s="223">
        <f t="shared" si="17"/>
        <v>-5.7178382086232773</v>
      </c>
      <c r="W84" s="223">
        <f t="shared" si="18"/>
        <v>26.892898288789638</v>
      </c>
      <c r="X84" s="223"/>
      <c r="Y84" s="280"/>
    </row>
    <row r="85" spans="13:25" hidden="1">
      <c r="M85" s="287">
        <f t="shared" si="11"/>
        <v>27.140937746353877</v>
      </c>
      <c r="N85" s="288">
        <f t="shared" si="21"/>
        <v>27.140937746353877</v>
      </c>
      <c r="O85" s="289">
        <f t="shared" si="12"/>
        <v>0.47369872575268479</v>
      </c>
      <c r="P85" s="219">
        <f t="shared" si="13"/>
        <v>341.30472875162832</v>
      </c>
      <c r="Q85" s="219">
        <f t="shared" si="14"/>
        <v>266.83843073965312</v>
      </c>
      <c r="R85" s="219">
        <f t="shared" si="22"/>
        <v>365.83860415660985</v>
      </c>
      <c r="S85" s="220">
        <f t="shared" si="23"/>
        <v>332.98633576322374</v>
      </c>
      <c r="T85" s="221">
        <f t="shared" si="15"/>
        <v>18.695271248371682</v>
      </c>
      <c r="U85" s="222">
        <f t="shared" si="16"/>
        <v>93.16156926034688</v>
      </c>
      <c r="V85" s="223">
        <f t="shared" si="17"/>
        <v>-5.838604156609847</v>
      </c>
      <c r="W85" s="223">
        <f t="shared" si="18"/>
        <v>27.013664236776265</v>
      </c>
      <c r="X85" s="223"/>
      <c r="Y85" s="280"/>
    </row>
    <row r="86" spans="13:25" hidden="1">
      <c r="M86" s="287">
        <f t="shared" si="11"/>
        <v>26.75764621748629</v>
      </c>
      <c r="N86" s="288">
        <f t="shared" si="21"/>
        <v>26.75764621748629</v>
      </c>
      <c r="O86" s="289">
        <f t="shared" si="12"/>
        <v>0.4670090265789425</v>
      </c>
      <c r="P86" s="219">
        <f t="shared" si="13"/>
        <v>341.30345398674325</v>
      </c>
      <c r="Q86" s="219">
        <f t="shared" si="14"/>
        <v>266.83970550453819</v>
      </c>
      <c r="R86" s="219">
        <f t="shared" si="22"/>
        <v>365.94721275834826</v>
      </c>
      <c r="S86" s="220">
        <f t="shared" si="23"/>
        <v>332.87772716148538</v>
      </c>
      <c r="T86" s="221">
        <f t="shared" si="15"/>
        <v>18.69654601325675</v>
      </c>
      <c r="U86" s="222">
        <f t="shared" si="16"/>
        <v>93.160294495461812</v>
      </c>
      <c r="V86" s="223">
        <f t="shared" si="17"/>
        <v>-5.9472127583482575</v>
      </c>
      <c r="W86" s="223">
        <f t="shared" si="18"/>
        <v>27.122272838514618</v>
      </c>
      <c r="X86" s="223"/>
      <c r="Y86" s="280"/>
    </row>
    <row r="87" spans="13:25" hidden="1">
      <c r="M87" s="287">
        <f t="shared" si="11"/>
        <v>26.374354688618702</v>
      </c>
      <c r="N87" s="288">
        <f t="shared" si="21"/>
        <v>26.374354688618702</v>
      </c>
      <c r="O87" s="289">
        <f t="shared" si="12"/>
        <v>0.46031932740520015</v>
      </c>
      <c r="P87" s="219">
        <f t="shared" si="13"/>
        <v>341.29795818025138</v>
      </c>
      <c r="Q87" s="219">
        <f t="shared" si="14"/>
        <v>266.84520131103005</v>
      </c>
      <c r="R87" s="219">
        <f t="shared" si="22"/>
        <v>366.04401973019145</v>
      </c>
      <c r="S87" s="220">
        <f t="shared" si="23"/>
        <v>332.78092018964219</v>
      </c>
      <c r="T87" s="221">
        <f t="shared" si="15"/>
        <v>18.702041819748615</v>
      </c>
      <c r="U87" s="222">
        <f t="shared" si="16"/>
        <v>93.154798688969947</v>
      </c>
      <c r="V87" s="223">
        <f t="shared" si="17"/>
        <v>-6.0440197301914509</v>
      </c>
      <c r="W87" s="223">
        <f t="shared" si="18"/>
        <v>27.219079810357812</v>
      </c>
      <c r="X87" s="223"/>
      <c r="Y87" s="280"/>
    </row>
    <row r="88" spans="13:25" hidden="1">
      <c r="M88" s="287">
        <f t="shared" si="11"/>
        <v>25.991063159751114</v>
      </c>
      <c r="N88" s="288">
        <f t="shared" si="21"/>
        <v>25.991063159751114</v>
      </c>
      <c r="O88" s="289">
        <f t="shared" si="12"/>
        <v>0.45362962823145786</v>
      </c>
      <c r="P88" s="219">
        <f t="shared" si="13"/>
        <v>341.28828140245247</v>
      </c>
      <c r="Q88" s="219">
        <f t="shared" si="14"/>
        <v>266.85487808882897</v>
      </c>
      <c r="R88" s="219">
        <f t="shared" si="22"/>
        <v>366.12934367305348</v>
      </c>
      <c r="S88" s="220">
        <f t="shared" si="23"/>
        <v>332.69559624678016</v>
      </c>
      <c r="T88" s="221">
        <f t="shared" si="15"/>
        <v>18.711718597547531</v>
      </c>
      <c r="U88" s="222">
        <f t="shared" si="16"/>
        <v>93.145121911171032</v>
      </c>
      <c r="V88" s="223">
        <f t="shared" si="17"/>
        <v>-6.1293436730534836</v>
      </c>
      <c r="W88" s="223">
        <f t="shared" si="18"/>
        <v>27.304403753219844</v>
      </c>
      <c r="X88" s="223"/>
      <c r="Y88" s="280"/>
    </row>
    <row r="89" spans="13:25" hidden="1">
      <c r="M89" s="287">
        <f t="shared" si="11"/>
        <v>25.607771630883526</v>
      </c>
      <c r="N89" s="288">
        <f t="shared" si="21"/>
        <v>25.607771630883526</v>
      </c>
      <c r="O89" s="289">
        <f t="shared" si="12"/>
        <v>0.44693992905771557</v>
      </c>
      <c r="P89" s="219">
        <f t="shared" si="13"/>
        <v>341.27446106442693</v>
      </c>
      <c r="Q89" s="219">
        <f t="shared" si="14"/>
        <v>266.86869842685451</v>
      </c>
      <c r="R89" s="219">
        <f t="shared" si="22"/>
        <v>366.20346943357174</v>
      </c>
      <c r="S89" s="220">
        <f t="shared" si="23"/>
        <v>332.62147048626184</v>
      </c>
      <c r="T89" s="221">
        <f t="shared" si="15"/>
        <v>18.72553893557307</v>
      </c>
      <c r="U89" s="222">
        <f t="shared" si="16"/>
        <v>93.131301573145493</v>
      </c>
      <c r="V89" s="223">
        <f t="shared" si="17"/>
        <v>-6.2034694335717404</v>
      </c>
      <c r="W89" s="223">
        <f t="shared" si="18"/>
        <v>27.378529513738158</v>
      </c>
      <c r="X89" s="223"/>
      <c r="Y89" s="280"/>
    </row>
    <row r="90" spans="13:25" hidden="1">
      <c r="M90" s="287">
        <f t="shared" si="11"/>
        <v>25.224480102015939</v>
      </c>
      <c r="N90" s="288">
        <f t="shared" si="21"/>
        <v>25.224480102015939</v>
      </c>
      <c r="O90" s="289">
        <f t="shared" si="12"/>
        <v>0.44025022988397328</v>
      </c>
      <c r="P90" s="219">
        <f t="shared" si="13"/>
        <v>341.25653198616965</v>
      </c>
      <c r="Q90" s="219">
        <f t="shared" si="14"/>
        <v>266.88662750511179</v>
      </c>
      <c r="R90" s="219">
        <f t="shared" si="22"/>
        <v>366.26665095358385</v>
      </c>
      <c r="S90" s="220">
        <f t="shared" si="23"/>
        <v>332.55828896624979</v>
      </c>
      <c r="T90" s="221">
        <f t="shared" si="15"/>
        <v>18.743468013830352</v>
      </c>
      <c r="U90" s="222">
        <f t="shared" si="16"/>
        <v>93.11337249488821</v>
      </c>
      <c r="V90" s="223">
        <f t="shared" si="17"/>
        <v>-6.2666509535838486</v>
      </c>
      <c r="W90" s="223">
        <f t="shared" si="18"/>
        <v>27.441711033750209</v>
      </c>
      <c r="X90" s="223"/>
      <c r="Y90" s="280"/>
    </row>
    <row r="91" spans="13:25" hidden="1">
      <c r="M91" s="287">
        <f t="shared" si="11"/>
        <v>24.841188573148351</v>
      </c>
      <c r="N91" s="288">
        <f t="shared" si="21"/>
        <v>24.841188573148351</v>
      </c>
      <c r="O91" s="289">
        <f t="shared" si="12"/>
        <v>0.43356053071023098</v>
      </c>
      <c r="P91" s="219">
        <f t="shared" si="13"/>
        <v>341.23452645910191</v>
      </c>
      <c r="Q91" s="219">
        <f t="shared" si="14"/>
        <v>266.90863303217952</v>
      </c>
      <c r="R91" s="219">
        <f t="shared" si="22"/>
        <v>366.31911368557229</v>
      </c>
      <c r="S91" s="220">
        <f t="shared" si="23"/>
        <v>332.50582623426129</v>
      </c>
      <c r="T91" s="221">
        <f t="shared" si="15"/>
        <v>18.765473540898086</v>
      </c>
      <c r="U91" s="222">
        <f t="shared" si="16"/>
        <v>93.091366967820477</v>
      </c>
      <c r="V91" s="223">
        <f t="shared" si="17"/>
        <v>-6.3191136855722903</v>
      </c>
      <c r="W91" s="223">
        <f t="shared" si="18"/>
        <v>27.494173765738708</v>
      </c>
      <c r="X91" s="223"/>
      <c r="Y91" s="280"/>
    </row>
    <row r="92" spans="13:25" hidden="1">
      <c r="M92" s="287">
        <f t="shared" si="11"/>
        <v>24.457897044280763</v>
      </c>
      <c r="N92" s="288">
        <f t="shared" si="21"/>
        <v>24.457897044280763</v>
      </c>
      <c r="O92" s="289">
        <f t="shared" si="12"/>
        <v>0.42687083153648869</v>
      </c>
      <c r="P92" s="219">
        <f t="shared" si="13"/>
        <v>341.20847430321504</v>
      </c>
      <c r="Q92" s="219">
        <f t="shared" si="14"/>
        <v>266.93468518806634</v>
      </c>
      <c r="R92" s="219">
        <f t="shared" si="22"/>
        <v>366.36105663637704</v>
      </c>
      <c r="S92" s="220">
        <f t="shared" si="23"/>
        <v>332.4638832834566</v>
      </c>
      <c r="T92" s="221">
        <f t="shared" si="15"/>
        <v>18.791525696784959</v>
      </c>
      <c r="U92" s="222">
        <f t="shared" si="16"/>
        <v>93.065314811933661</v>
      </c>
      <c r="V92" s="223">
        <f t="shared" si="17"/>
        <v>-6.3610566363770431</v>
      </c>
      <c r="W92" s="223">
        <f t="shared" si="18"/>
        <v>27.536116716543404</v>
      </c>
      <c r="X92" s="223"/>
      <c r="Y92" s="280"/>
    </row>
    <row r="93" spans="13:25" hidden="1">
      <c r="M93" s="287">
        <f t="shared" si="11"/>
        <v>24.074605515413175</v>
      </c>
      <c r="N93" s="288">
        <f t="shared" si="21"/>
        <v>24.074605515413175</v>
      </c>
      <c r="O93" s="289">
        <f t="shared" si="12"/>
        <v>0.4201811323627464</v>
      </c>
      <c r="P93" s="219">
        <f t="shared" si="13"/>
        <v>341.17840291907254</v>
      </c>
      <c r="Q93" s="219">
        <f t="shared" si="14"/>
        <v>266.9647565722089</v>
      </c>
      <c r="R93" s="219">
        <f t="shared" si="22"/>
        <v>366.39265408925166</v>
      </c>
      <c r="S93" s="220">
        <f t="shared" si="23"/>
        <v>332.43228583058192</v>
      </c>
      <c r="T93" s="221">
        <f t="shared" si="15"/>
        <v>18.821597080927461</v>
      </c>
      <c r="U93" s="222">
        <f t="shared" si="16"/>
        <v>93.035243427791102</v>
      </c>
      <c r="V93" s="223">
        <f t="shared" si="17"/>
        <v>-6.3926540892516641</v>
      </c>
      <c r="W93" s="223">
        <f t="shared" si="18"/>
        <v>27.567714169418082</v>
      </c>
      <c r="X93" s="223"/>
      <c r="Y93" s="280"/>
    </row>
    <row r="94" spans="13:25" hidden="1">
      <c r="M94" s="287">
        <f t="shared" si="11"/>
        <v>23.691313986545588</v>
      </c>
      <c r="N94" s="288">
        <f t="shared" si="21"/>
        <v>23.691313986545588</v>
      </c>
      <c r="O94" s="289">
        <f t="shared" si="12"/>
        <v>0.41349143318900405</v>
      </c>
      <c r="P94" s="219">
        <f t="shared" si="13"/>
        <v>341.14433733487442</v>
      </c>
      <c r="Q94" s="219">
        <f t="shared" si="14"/>
        <v>266.99882215640702</v>
      </c>
      <c r="R94" s="219">
        <f t="shared" si="22"/>
        <v>366.41405704449386</v>
      </c>
      <c r="S94" s="220">
        <f t="shared" si="23"/>
        <v>332.41088287533978</v>
      </c>
      <c r="T94" s="221">
        <f t="shared" si="15"/>
        <v>18.855662665125578</v>
      </c>
      <c r="U94" s="222">
        <f t="shared" si="16"/>
        <v>93.001177843592984</v>
      </c>
      <c r="V94" s="223">
        <f t="shared" si="17"/>
        <v>-6.4140570444938589</v>
      </c>
      <c r="W94" s="223">
        <f t="shared" si="18"/>
        <v>27.58911712466022</v>
      </c>
      <c r="X94" s="223"/>
      <c r="Y94" s="280"/>
    </row>
    <row r="95" spans="13:25" hidden="1">
      <c r="M95" s="287">
        <f t="shared" si="11"/>
        <v>23.308022457678</v>
      </c>
      <c r="N95" s="288">
        <f t="shared" si="21"/>
        <v>23.308022457678</v>
      </c>
      <c r="O95" s="289">
        <f t="shared" si="12"/>
        <v>0.40680173401526176</v>
      </c>
      <c r="P95" s="219">
        <f t="shared" si="13"/>
        <v>341.10630024876133</v>
      </c>
      <c r="Q95" s="219">
        <f t="shared" si="14"/>
        <v>267.03685924252011</v>
      </c>
      <c r="R95" s="219">
        <f t="shared" si="22"/>
        <v>366.42539441084227</v>
      </c>
      <c r="S95" s="220">
        <f t="shared" si="23"/>
        <v>332.39954550899131</v>
      </c>
      <c r="T95" s="221">
        <f t="shared" si="15"/>
        <v>18.893699751238671</v>
      </c>
      <c r="U95" s="222">
        <f t="shared" si="16"/>
        <v>92.963140757479891</v>
      </c>
      <c r="V95" s="223">
        <f t="shared" si="17"/>
        <v>-6.4253944108422729</v>
      </c>
      <c r="W95" s="223">
        <f t="shared" si="18"/>
        <v>27.600454491008691</v>
      </c>
      <c r="X95" s="223"/>
      <c r="Y95" s="280"/>
    </row>
    <row r="96" spans="13:25" hidden="1">
      <c r="M96" s="287">
        <f t="shared" si="11"/>
        <v>22.924730928810412</v>
      </c>
      <c r="N96" s="288">
        <f t="shared" si="21"/>
        <v>22.924730928810412</v>
      </c>
      <c r="O96" s="289">
        <f t="shared" si="12"/>
        <v>0.40011203484151947</v>
      </c>
      <c r="P96" s="219">
        <f t="shared" si="13"/>
        <v>341.06431206651706</v>
      </c>
      <c r="Q96" s="219">
        <f t="shared" si="14"/>
        <v>267.07884742476438</v>
      </c>
      <c r="R96" s="219">
        <f t="shared" si="22"/>
        <v>366.42677397318619</v>
      </c>
      <c r="S96" s="220">
        <f t="shared" si="23"/>
        <v>332.39816594664745</v>
      </c>
      <c r="T96" s="221">
        <f t="shared" si="15"/>
        <v>18.935687933482939</v>
      </c>
      <c r="U96" s="222">
        <f t="shared" si="16"/>
        <v>92.921152575235624</v>
      </c>
      <c r="V96" s="223">
        <f t="shared" si="17"/>
        <v>-6.4267739731861866</v>
      </c>
      <c r="W96" s="223">
        <f t="shared" si="18"/>
        <v>27.601834053352547</v>
      </c>
      <c r="X96" s="223"/>
      <c r="Y96" s="280"/>
    </row>
    <row r="97" spans="13:25" hidden="1">
      <c r="M97" s="287">
        <f t="shared" ref="M97:M112" si="24">IF(N97&gt;maxn,maxn,IF(N97&lt;mins,mins,N97))</f>
        <v>22.541439399942824</v>
      </c>
      <c r="N97" s="288">
        <f t="shared" si="21"/>
        <v>22.541439399942824</v>
      </c>
      <c r="O97" s="289">
        <f t="shared" ref="O97:O112" si="25">RADIANS(M97)</f>
        <v>0.39342233566777718</v>
      </c>
      <c r="P97" s="219">
        <f t="shared" ref="P97:P112" si="26">IFERROR(DEGREES(grt+ACOS((SIN(h)-SIN(d)*SIN(O97))/COS(d)/COS(O97))),#N/A)</f>
        <v>341.01839093480453</v>
      </c>
      <c r="Q97" s="219">
        <f t="shared" ref="Q97:Q112" si="27">IFERROR(DEGREES(grt-ACOS((SIN(h)-SIN(d)*SIN(O97))/COS(d)/COS(O97))),#N/A)</f>
        <v>267.12476855647691</v>
      </c>
      <c r="R97" s="219">
        <f t="shared" si="22"/>
        <v>366.41828315652776</v>
      </c>
      <c r="S97" s="220">
        <f t="shared" si="23"/>
        <v>332.40665676330582</v>
      </c>
      <c r="T97" s="221">
        <f t="shared" ref="T97:T112" si="28">IF(P97&lt;0,ABS(P97),IF(P97&gt;360,-(P97-360),IF(AND(P97&gt;180,P97&lt;360),ABS(360-P97),-P97)))</f>
        <v>18.981609065195471</v>
      </c>
      <c r="U97" s="222">
        <f t="shared" ref="U97:U112" si="29">IF(Q97&lt;0,ABS(Q97),IF(Q97&gt;360,Q97-(Q97-360),IF(AND(Q97&gt;180,Q97&lt;360),ABS(360-Q97),-Q97)))</f>
        <v>92.875231443523091</v>
      </c>
      <c r="V97" s="223">
        <f t="shared" ref="V97:V112" si="30">IF(R97&lt;0,ABS(R97),IF(R97&gt;360,-(R97-360),IF(AND(R97&gt;180,R97&lt;360),ABS(360-R97),-R97)))</f>
        <v>-6.4182831565277638</v>
      </c>
      <c r="W97" s="223">
        <f t="shared" ref="W97:W112" si="31">IF(S97&lt;0,ABS(S97),IF(S97&gt;360,-(S97-360),IF(AND(S97&gt;180,S97&lt;360),ABS(360-S97),-S97)))</f>
        <v>27.593343236694182</v>
      </c>
      <c r="X97" s="223"/>
      <c r="Y97" s="280"/>
    </row>
    <row r="98" spans="13:25" hidden="1">
      <c r="M98" s="287">
        <f t="shared" si="24"/>
        <v>22.158147871075236</v>
      </c>
      <c r="N98" s="288">
        <f t="shared" si="21"/>
        <v>22.158147871075236</v>
      </c>
      <c r="O98" s="289">
        <f t="shared" si="25"/>
        <v>0.38673263649403489</v>
      </c>
      <c r="P98" s="219">
        <f t="shared" si="26"/>
        <v>340.9685527700525</v>
      </c>
      <c r="Q98" s="219">
        <f t="shared" si="27"/>
        <v>267.17460672122894</v>
      </c>
      <c r="R98" s="219">
        <f t="shared" si="22"/>
        <v>366.39998960132937</v>
      </c>
      <c r="S98" s="220">
        <f t="shared" si="23"/>
        <v>332.42495031850427</v>
      </c>
      <c r="T98" s="221">
        <f t="shared" si="28"/>
        <v>19.031447229947503</v>
      </c>
      <c r="U98" s="222">
        <f t="shared" si="29"/>
        <v>92.82539327877106</v>
      </c>
      <c r="V98" s="223">
        <f t="shared" si="30"/>
        <v>-6.3999896013293665</v>
      </c>
      <c r="W98" s="223">
        <f t="shared" si="31"/>
        <v>27.575049681495727</v>
      </c>
      <c r="X98" s="223"/>
      <c r="Y98" s="280"/>
    </row>
    <row r="99" spans="13:25" hidden="1">
      <c r="M99" s="287">
        <f t="shared" si="24"/>
        <v>21.774856342207649</v>
      </c>
      <c r="N99" s="288">
        <f t="shared" si="21"/>
        <v>21.774856342207649</v>
      </c>
      <c r="O99" s="289">
        <f t="shared" si="25"/>
        <v>0.3800429373202926</v>
      </c>
      <c r="P99" s="219">
        <f t="shared" si="26"/>
        <v>340.91481128308936</v>
      </c>
      <c r="Q99" s="219">
        <f t="shared" si="27"/>
        <v>267.22834820819207</v>
      </c>
      <c r="R99" s="219">
        <f t="shared" si="22"/>
        <v>366.37194156113725</v>
      </c>
      <c r="S99" s="220">
        <f t="shared" si="23"/>
        <v>332.45299835869639</v>
      </c>
      <c r="T99" s="221">
        <f t="shared" si="28"/>
        <v>19.085188716910636</v>
      </c>
      <c r="U99" s="222">
        <f t="shared" si="29"/>
        <v>92.771651791807926</v>
      </c>
      <c r="V99" s="223">
        <f t="shared" si="30"/>
        <v>-6.3719415611372483</v>
      </c>
      <c r="W99" s="223">
        <f t="shared" si="31"/>
        <v>27.547001641303609</v>
      </c>
      <c r="X99" s="223"/>
      <c r="Y99" s="280"/>
    </row>
    <row r="100" spans="13:25" hidden="1">
      <c r="M100" s="287">
        <f t="shared" si="24"/>
        <v>21.391564813340061</v>
      </c>
      <c r="N100" s="288">
        <f t="shared" si="21"/>
        <v>21.391564813340061</v>
      </c>
      <c r="O100" s="289">
        <f t="shared" si="25"/>
        <v>0.3733532381465503</v>
      </c>
      <c r="P100" s="219">
        <f t="shared" si="26"/>
        <v>340.85717799960366</v>
      </c>
      <c r="Q100" s="219">
        <f t="shared" si="27"/>
        <v>267.28598149167777</v>
      </c>
      <c r="R100" s="219">
        <f t="shared" si="22"/>
        <v>366.33416812954277</v>
      </c>
      <c r="S100" s="220">
        <f t="shared" si="23"/>
        <v>332.49077179029086</v>
      </c>
      <c r="T100" s="221">
        <f t="shared" si="28"/>
        <v>19.142822000396336</v>
      </c>
      <c r="U100" s="222">
        <f t="shared" si="29"/>
        <v>92.714018508322226</v>
      </c>
      <c r="V100" s="223">
        <f t="shared" si="30"/>
        <v>-6.3341681295427748</v>
      </c>
      <c r="W100" s="223">
        <f t="shared" si="31"/>
        <v>27.509228209709136</v>
      </c>
      <c r="X100" s="223"/>
      <c r="Y100" s="280"/>
    </row>
    <row r="101" spans="13:25" hidden="1">
      <c r="M101" s="287">
        <f t="shared" si="24"/>
        <v>21.008273284472473</v>
      </c>
      <c r="N101" s="288">
        <f t="shared" si="21"/>
        <v>21.008273284472473</v>
      </c>
      <c r="O101" s="289">
        <f t="shared" si="25"/>
        <v>0.36666353897280796</v>
      </c>
      <c r="P101" s="219">
        <f t="shared" si="26"/>
        <v>340.79566227649144</v>
      </c>
      <c r="Q101" s="219">
        <f t="shared" si="27"/>
        <v>267.34749721479</v>
      </c>
      <c r="R101" s="219">
        <f t="shared" si="22"/>
        <v>366.28667929995356</v>
      </c>
      <c r="S101" s="220">
        <f t="shared" si="23"/>
        <v>332.53826061988002</v>
      </c>
      <c r="T101" s="221">
        <f t="shared" si="28"/>
        <v>19.204337723508559</v>
      </c>
      <c r="U101" s="222">
        <f t="shared" si="29"/>
        <v>92.652502785210004</v>
      </c>
      <c r="V101" s="223">
        <f t="shared" si="30"/>
        <v>-6.2866792999535619</v>
      </c>
      <c r="W101" s="223">
        <f t="shared" si="31"/>
        <v>27.46173938011998</v>
      </c>
      <c r="X101" s="223"/>
      <c r="Y101" s="280"/>
    </row>
    <row r="102" spans="13:25" hidden="1">
      <c r="M102" s="287">
        <f t="shared" si="24"/>
        <v>20.624981755604885</v>
      </c>
      <c r="N102" s="288">
        <f t="shared" si="21"/>
        <v>20.624981755604885</v>
      </c>
      <c r="O102" s="289">
        <f t="shared" si="25"/>
        <v>0.35997383979906566</v>
      </c>
      <c r="P102" s="219">
        <f t="shared" si="26"/>
        <v>340.73027131413335</v>
      </c>
      <c r="Q102" s="219">
        <f t="shared" si="27"/>
        <v>267.41288817714809</v>
      </c>
      <c r="R102" s="219">
        <f t="shared" si="22"/>
        <v>366.22946585817522</v>
      </c>
      <c r="S102" s="220">
        <f t="shared" si="23"/>
        <v>332.59547406165842</v>
      </c>
      <c r="T102" s="221">
        <f t="shared" si="28"/>
        <v>19.269728685866653</v>
      </c>
      <c r="U102" s="222">
        <f t="shared" si="29"/>
        <v>92.587111822851909</v>
      </c>
      <c r="V102" s="223">
        <f t="shared" si="30"/>
        <v>-6.2294658581752174</v>
      </c>
      <c r="W102" s="223">
        <f t="shared" si="31"/>
        <v>27.404525938341578</v>
      </c>
      <c r="X102" s="223"/>
      <c r="Y102" s="280"/>
    </row>
    <row r="103" spans="13:25" hidden="1">
      <c r="M103" s="287">
        <f t="shared" si="24"/>
        <v>20.241690226737298</v>
      </c>
      <c r="N103" s="288">
        <f t="shared" si="21"/>
        <v>20.241690226737298</v>
      </c>
      <c r="O103" s="289">
        <f t="shared" si="25"/>
        <v>0.35328414062532337</v>
      </c>
      <c r="P103" s="219">
        <f t="shared" si="26"/>
        <v>340.66101016462835</v>
      </c>
      <c r="Q103" s="219">
        <f t="shared" si="27"/>
        <v>267.48214932665309</v>
      </c>
      <c r="R103" s="219">
        <f t="shared" si="22"/>
        <v>366.16249910431236</v>
      </c>
      <c r="S103" s="220">
        <f t="shared" si="23"/>
        <v>332.66244081552122</v>
      </c>
      <c r="T103" s="221">
        <f t="shared" si="28"/>
        <v>19.338989835371649</v>
      </c>
      <c r="U103" s="222">
        <f t="shared" si="29"/>
        <v>92.517850673346913</v>
      </c>
      <c r="V103" s="223">
        <f t="shared" si="30"/>
        <v>-6.16249910431236</v>
      </c>
      <c r="W103" s="223">
        <f t="shared" si="31"/>
        <v>27.337559184478778</v>
      </c>
      <c r="X103" s="223"/>
      <c r="Y103" s="280"/>
    </row>
    <row r="104" spans="13:25" hidden="1">
      <c r="M104" s="287">
        <f t="shared" si="24"/>
        <v>19.85839869786971</v>
      </c>
      <c r="N104" s="288">
        <f t="shared" si="21"/>
        <v>19.85839869786971</v>
      </c>
      <c r="O104" s="289">
        <f t="shared" si="25"/>
        <v>0.34659444145158108</v>
      </c>
      <c r="P104" s="219">
        <f t="shared" si="26"/>
        <v>340.58788173599089</v>
      </c>
      <c r="Q104" s="219">
        <f t="shared" si="27"/>
        <v>267.55527775529049</v>
      </c>
      <c r="R104" s="219">
        <f t="shared" ref="R104:R135" si="32">IFERROR(DEGREES(grt_+ACOS((SIN(h_)-SIN(d_)*SIN(O104))/COS(d_)/COS(O104))),#N/A)</f>
        <v>366.08573039685405</v>
      </c>
      <c r="S104" s="220">
        <f t="shared" ref="S104:S135" si="33">IFERROR(DEGREES(grt_-ACOS((SIN(h_)-SIN(d_)*SIN(O104))/COS(d_)/COS(O104))),#N/A)</f>
        <v>332.73920952297959</v>
      </c>
      <c r="T104" s="221">
        <f t="shared" si="28"/>
        <v>19.412118264009109</v>
      </c>
      <c r="U104" s="222">
        <f t="shared" si="29"/>
        <v>92.44472224470951</v>
      </c>
      <c r="V104" s="223">
        <f t="shared" si="30"/>
        <v>-6.0857303968540464</v>
      </c>
      <c r="W104" s="223">
        <f t="shared" si="31"/>
        <v>27.260790477020407</v>
      </c>
      <c r="X104" s="223"/>
      <c r="Y104" s="280"/>
    </row>
    <row r="105" spans="13:25" hidden="1">
      <c r="M105" s="287">
        <f t="shared" si="24"/>
        <v>19.475107169002122</v>
      </c>
      <c r="N105" s="288">
        <f t="shared" si="21"/>
        <v>19.475107169002122</v>
      </c>
      <c r="O105" s="289">
        <f t="shared" si="25"/>
        <v>0.33990474227783879</v>
      </c>
      <c r="P105" s="219">
        <f t="shared" si="26"/>
        <v>340.51088679230315</v>
      </c>
      <c r="Q105" s="219">
        <f t="shared" si="27"/>
        <v>267.63227269897828</v>
      </c>
      <c r="R105" s="219">
        <f t="shared" si="32"/>
        <v>365.99909050786675</v>
      </c>
      <c r="S105" s="220">
        <f t="shared" si="33"/>
        <v>332.82584941196689</v>
      </c>
      <c r="T105" s="221">
        <f t="shared" si="28"/>
        <v>19.489113207696846</v>
      </c>
      <c r="U105" s="222">
        <f t="shared" si="29"/>
        <v>92.367727301021716</v>
      </c>
      <c r="V105" s="223">
        <f t="shared" si="30"/>
        <v>-5.9990905078667538</v>
      </c>
      <c r="W105" s="223">
        <f t="shared" si="31"/>
        <v>27.174150588033115</v>
      </c>
      <c r="X105" s="223"/>
      <c r="Y105" s="280"/>
    </row>
    <row r="106" spans="13:25" hidden="1">
      <c r="M106" s="287">
        <f t="shared" si="24"/>
        <v>19.091815640134534</v>
      </c>
      <c r="N106" s="288">
        <f t="shared" si="21"/>
        <v>19.091815640134534</v>
      </c>
      <c r="O106" s="289">
        <f t="shared" si="25"/>
        <v>0.3332150431040965</v>
      </c>
      <c r="P106" s="219">
        <f t="shared" si="26"/>
        <v>340.43002394979641</v>
      </c>
      <c r="Q106" s="219">
        <f t="shared" si="27"/>
        <v>267.71313554148503</v>
      </c>
      <c r="R106" s="219">
        <f t="shared" si="32"/>
        <v>365.9024887738301</v>
      </c>
      <c r="S106" s="220">
        <f t="shared" si="33"/>
        <v>332.92245114600348</v>
      </c>
      <c r="T106" s="221">
        <f t="shared" si="28"/>
        <v>19.569976050203593</v>
      </c>
      <c r="U106" s="222">
        <f t="shared" si="29"/>
        <v>92.28686445851497</v>
      </c>
      <c r="V106" s="223">
        <f t="shared" si="30"/>
        <v>-5.9024887738301004</v>
      </c>
      <c r="W106" s="223">
        <f t="shared" si="31"/>
        <v>27.077548853996518</v>
      </c>
      <c r="X106" s="223"/>
      <c r="Y106" s="280"/>
    </row>
    <row r="107" spans="13:25" hidden="1">
      <c r="M107" s="287">
        <f t="shared" si="24"/>
        <v>18.708524111266946</v>
      </c>
      <c r="N107" s="288">
        <f t="shared" si="21"/>
        <v>18.708524111266946</v>
      </c>
      <c r="O107" s="289">
        <f t="shared" si="25"/>
        <v>0.32652534393035421</v>
      </c>
      <c r="P107" s="219">
        <f t="shared" si="26"/>
        <v>340.3452896688151</v>
      </c>
      <c r="Q107" s="219">
        <f t="shared" si="27"/>
        <v>267.79786982246634</v>
      </c>
      <c r="R107" s="219">
        <f t="shared" si="32"/>
        <v>365.79581202160313</v>
      </c>
      <c r="S107" s="220">
        <f t="shared" si="33"/>
        <v>333.02912789823051</v>
      </c>
      <c r="T107" s="221">
        <f t="shared" si="28"/>
        <v>19.654710331184901</v>
      </c>
      <c r="U107" s="222">
        <f t="shared" si="29"/>
        <v>92.202130177533661</v>
      </c>
      <c r="V107" s="223">
        <f t="shared" si="30"/>
        <v>-5.7958120216031261</v>
      </c>
      <c r="W107" s="223">
        <f t="shared" si="31"/>
        <v>26.970872101769487</v>
      </c>
      <c r="X107" s="223"/>
      <c r="Y107" s="280"/>
    </row>
    <row r="108" spans="13:25" hidden="1">
      <c r="M108" s="287">
        <f t="shared" si="24"/>
        <v>18.325232582399359</v>
      </c>
      <c r="N108" s="288">
        <f t="shared" si="21"/>
        <v>18.325232582399359</v>
      </c>
      <c r="O108" s="289">
        <f t="shared" si="25"/>
        <v>0.31983564475661191</v>
      </c>
      <c r="P108" s="219">
        <f t="shared" si="26"/>
        <v>340.25667824160291</v>
      </c>
      <c r="Q108" s="219">
        <f t="shared" si="27"/>
        <v>267.88648124967852</v>
      </c>
      <c r="R108" s="219">
        <f t="shared" si="32"/>
        <v>365.67892324309196</v>
      </c>
      <c r="S108" s="220">
        <f t="shared" si="33"/>
        <v>333.14601667674162</v>
      </c>
      <c r="T108" s="221">
        <f t="shared" si="28"/>
        <v>19.743321758397087</v>
      </c>
      <c r="U108" s="222">
        <f t="shared" si="29"/>
        <v>92.113518750321475</v>
      </c>
      <c r="V108" s="223">
        <f t="shared" si="30"/>
        <v>-5.6789232430919583</v>
      </c>
      <c r="W108" s="223">
        <f t="shared" si="31"/>
        <v>26.853983323258376</v>
      </c>
      <c r="X108" s="223"/>
      <c r="Y108" s="280"/>
    </row>
    <row r="109" spans="13:25" hidden="1">
      <c r="M109" s="287">
        <f t="shared" si="24"/>
        <v>17.941941053531771</v>
      </c>
      <c r="N109" s="288">
        <f t="shared" si="21"/>
        <v>17.941941053531771</v>
      </c>
      <c r="O109" s="289">
        <f t="shared" si="25"/>
        <v>0.31314594558286957</v>
      </c>
      <c r="P109" s="219">
        <f t="shared" si="26"/>
        <v>340.16418177582671</v>
      </c>
      <c r="Q109" s="219">
        <f t="shared" si="27"/>
        <v>267.97897771545473</v>
      </c>
      <c r="R109" s="219">
        <f t="shared" si="32"/>
        <v>365.5516599850954</v>
      </c>
      <c r="S109" s="220">
        <f t="shared" si="33"/>
        <v>333.27327993473818</v>
      </c>
      <c r="T109" s="221">
        <f t="shared" si="28"/>
        <v>19.835818224173295</v>
      </c>
      <c r="U109" s="222">
        <f t="shared" si="29"/>
        <v>92.021022284545268</v>
      </c>
      <c r="V109" s="223">
        <f t="shared" si="30"/>
        <v>-5.551659985095398</v>
      </c>
      <c r="W109" s="223">
        <f t="shared" si="31"/>
        <v>26.726720065261816</v>
      </c>
      <c r="X109" s="223"/>
      <c r="Y109" s="280"/>
    </row>
    <row r="110" spans="13:25" hidden="1">
      <c r="M110" s="287">
        <f t="shared" si="24"/>
        <v>17.558649524664183</v>
      </c>
      <c r="N110" s="288">
        <f t="shared" si="21"/>
        <v>17.558649524664183</v>
      </c>
      <c r="O110" s="289">
        <f t="shared" si="25"/>
        <v>0.30645624640912728</v>
      </c>
      <c r="P110" s="219">
        <f t="shared" si="26"/>
        <v>340.06779017373748</v>
      </c>
      <c r="Q110" s="219">
        <f t="shared" si="27"/>
        <v>268.07536931754396</v>
      </c>
      <c r="R110" s="219">
        <f t="shared" si="32"/>
        <v>365.41383241215738</v>
      </c>
      <c r="S110" s="220">
        <f t="shared" si="33"/>
        <v>333.41110750767626</v>
      </c>
      <c r="T110" s="221">
        <f t="shared" si="28"/>
        <v>19.932209826262522</v>
      </c>
      <c r="U110" s="222">
        <f t="shared" si="29"/>
        <v>91.924630682456041</v>
      </c>
      <c r="V110" s="223">
        <f t="shared" si="30"/>
        <v>-5.413832412157376</v>
      </c>
      <c r="W110" s="223">
        <f t="shared" si="31"/>
        <v>26.588892492323737</v>
      </c>
      <c r="X110" s="223"/>
      <c r="Y110" s="280"/>
    </row>
    <row r="111" spans="13:25" hidden="1">
      <c r="M111" s="287">
        <f t="shared" si="24"/>
        <v>17.175357995796595</v>
      </c>
      <c r="N111" s="288">
        <f t="shared" si="21"/>
        <v>17.175357995796595</v>
      </c>
      <c r="O111" s="289">
        <f t="shared" si="25"/>
        <v>0.29976654723538498</v>
      </c>
      <c r="P111" s="219">
        <f t="shared" si="26"/>
        <v>339.96749110684618</v>
      </c>
      <c r="Q111" s="219">
        <f t="shared" si="27"/>
        <v>268.17566838443526</v>
      </c>
      <c r="R111" s="219">
        <f t="shared" si="32"/>
        <v>365.26522098956883</v>
      </c>
      <c r="S111" s="220">
        <f t="shared" si="33"/>
        <v>333.55971893026481</v>
      </c>
      <c r="T111" s="221">
        <f t="shared" si="28"/>
        <v>20.032508893153818</v>
      </c>
      <c r="U111" s="222">
        <f t="shared" si="29"/>
        <v>91.824331615564745</v>
      </c>
      <c r="V111" s="223">
        <f t="shared" si="30"/>
        <v>-5.2652209895688316</v>
      </c>
      <c r="W111" s="223">
        <f t="shared" si="31"/>
        <v>26.440281069735192</v>
      </c>
      <c r="X111" s="223"/>
      <c r="Y111" s="280"/>
    </row>
    <row r="112" spans="13:25" hidden="1">
      <c r="M112" s="287">
        <f t="shared" si="24"/>
        <v>16.792066466929008</v>
      </c>
      <c r="N112" s="288">
        <f t="shared" si="21"/>
        <v>16.792066466929008</v>
      </c>
      <c r="O112" s="289">
        <f t="shared" si="25"/>
        <v>0.29307684806164269</v>
      </c>
      <c r="P112" s="219">
        <f t="shared" si="26"/>
        <v>339.86326998596792</v>
      </c>
      <c r="Q112" s="219">
        <f t="shared" si="27"/>
        <v>268.27988950531352</v>
      </c>
      <c r="R112" s="219">
        <f t="shared" si="32"/>
        <v>365.10557372027148</v>
      </c>
      <c r="S112" s="220">
        <f t="shared" si="33"/>
        <v>333.71936619956216</v>
      </c>
      <c r="T112" s="221">
        <f t="shared" si="28"/>
        <v>20.136730014032082</v>
      </c>
      <c r="U112" s="222">
        <f t="shared" si="29"/>
        <v>91.72011049468648</v>
      </c>
      <c r="V112" s="223">
        <f t="shared" si="30"/>
        <v>-5.1055737202714795</v>
      </c>
      <c r="W112" s="223">
        <f t="shared" si="31"/>
        <v>26.28063380043784</v>
      </c>
      <c r="X112" s="223"/>
      <c r="Y112" s="280"/>
    </row>
    <row r="113" spans="13:25" hidden="1">
      <c r="M113" s="287">
        <f t="shared" ref="M113:M176" si="34">IF(N113&gt;maxn,maxn,IF(N113&lt;mins,mins,N113))</f>
        <v>16.40877493806142</v>
      </c>
      <c r="N113" s="288">
        <f t="shared" si="21"/>
        <v>16.40877493806142</v>
      </c>
      <c r="O113" s="289">
        <f t="shared" ref="O113:O176" si="35">RADIANS(M113)</f>
        <v>0.2863871488879004</v>
      </c>
      <c r="P113" s="219">
        <f t="shared" ref="P113:P176" si="36">IFERROR(DEGREES(grt+ACOS((SIN(h)-SIN(d)*SIN(O113))/COS(d)/COS(O113))),#N/A)</f>
        <v>339.75510992646872</v>
      </c>
      <c r="Q113" s="219">
        <f t="shared" ref="Q113:Q176" si="37">IFERROR(DEGREES(grt-ACOS((SIN(h)-SIN(d)*SIN(O113))/COS(d)/COS(O113))),#N/A)</f>
        <v>268.38804956481272</v>
      </c>
      <c r="R113" s="219">
        <f t="shared" si="32"/>
        <v>364.93460285244339</v>
      </c>
      <c r="S113" s="220">
        <f t="shared" si="33"/>
        <v>333.89033706739025</v>
      </c>
      <c r="T113" s="221">
        <f t="shared" ref="T113:T176" si="38">IF(P113&lt;0,ABS(P113),IF(P113&gt;360,-(P113-360),IF(AND(P113&gt;180,P113&lt;360),ABS(360-P113),-P113)))</f>
        <v>20.24489007353128</v>
      </c>
      <c r="U113" s="222">
        <f t="shared" ref="U113:U176" si="39">IF(Q113&lt;0,ABS(Q113),IF(Q113&gt;360,Q113-(Q113-360),IF(AND(Q113&gt;180,Q113&lt;360),ABS(360-Q113),-Q113)))</f>
        <v>91.611950435187282</v>
      </c>
      <c r="V113" s="223">
        <f t="shared" ref="V113:V176" si="40">IF(R113&lt;0,ABS(R113),IF(R113&gt;360,-(R113-360),IF(AND(R113&gt;180,R113&lt;360),ABS(360-R113),-R113)))</f>
        <v>-4.9346028524433905</v>
      </c>
      <c r="W113" s="223">
        <f t="shared" ref="W113:W176" si="41">IF(S113&lt;0,ABS(S113),IF(S113&gt;360,-(S113-360),IF(AND(S113&gt;180,S113&lt;360),ABS(360-S113),-S113)))</f>
        <v>26.109662932609751</v>
      </c>
      <c r="X113" s="223"/>
      <c r="Y113" s="280"/>
    </row>
    <row r="114" spans="13:25" hidden="1">
      <c r="M114" s="287">
        <f t="shared" si="34"/>
        <v>16.025483409193832</v>
      </c>
      <c r="N114" s="288">
        <f t="shared" si="21"/>
        <v>16.025483409193832</v>
      </c>
      <c r="O114" s="289">
        <f t="shared" si="35"/>
        <v>0.27969744971415811</v>
      </c>
      <c r="P114" s="219">
        <f t="shared" si="36"/>
        <v>339.64299170852007</v>
      </c>
      <c r="Q114" s="219">
        <f t="shared" si="37"/>
        <v>268.50016778276137</v>
      </c>
      <c r="R114" s="219">
        <f t="shared" si="32"/>
        <v>364.75198095279774</v>
      </c>
      <c r="S114" s="220">
        <f t="shared" si="33"/>
        <v>334.07295896703585</v>
      </c>
      <c r="T114" s="221">
        <f t="shared" si="38"/>
        <v>20.357008291479929</v>
      </c>
      <c r="U114" s="222">
        <f t="shared" si="39"/>
        <v>91.499832217238634</v>
      </c>
      <c r="V114" s="223">
        <f t="shared" si="40"/>
        <v>-4.7519809527977372</v>
      </c>
      <c r="W114" s="223">
        <f t="shared" si="41"/>
        <v>25.927041032964155</v>
      </c>
      <c r="X114" s="223"/>
      <c r="Y114" s="280"/>
    </row>
    <row r="115" spans="13:25" hidden="1">
      <c r="M115" s="287">
        <f t="shared" si="34"/>
        <v>15.642191880326244</v>
      </c>
      <c r="N115" s="288">
        <f t="shared" si="21"/>
        <v>15.642191880326244</v>
      </c>
      <c r="O115" s="289">
        <f t="shared" si="35"/>
        <v>0.27300775054041582</v>
      </c>
      <c r="P115" s="219">
        <f t="shared" si="36"/>
        <v>339.52689373214332</v>
      </c>
      <c r="Q115" s="219">
        <f t="shared" si="37"/>
        <v>268.61626575913812</v>
      </c>
      <c r="R115" s="219">
        <f t="shared" si="32"/>
        <v>364.55733621243007</v>
      </c>
      <c r="S115" s="220">
        <f t="shared" si="33"/>
        <v>334.26760370740351</v>
      </c>
      <c r="T115" s="221">
        <f t="shared" si="38"/>
        <v>20.473106267856679</v>
      </c>
      <c r="U115" s="222">
        <f t="shared" si="39"/>
        <v>91.383734240861884</v>
      </c>
      <c r="V115" s="223">
        <f t="shared" si="40"/>
        <v>-4.5573362124300729</v>
      </c>
      <c r="W115" s="223">
        <f t="shared" si="41"/>
        <v>25.732396292596491</v>
      </c>
      <c r="X115" s="223"/>
      <c r="Y115" s="280"/>
    </row>
    <row r="116" spans="13:25" hidden="1">
      <c r="M116" s="287">
        <f t="shared" si="34"/>
        <v>15.258900351458657</v>
      </c>
      <c r="N116" s="288">
        <f t="shared" si="21"/>
        <v>15.258900351458657</v>
      </c>
      <c r="O116" s="289">
        <f t="shared" si="35"/>
        <v>0.26631805136667347</v>
      </c>
      <c r="P116" s="219">
        <f t="shared" si="36"/>
        <v>339.40679196679395</v>
      </c>
      <c r="Q116" s="219">
        <f t="shared" si="37"/>
        <v>268.73636752448749</v>
      </c>
      <c r="R116" s="219">
        <f t="shared" si="32"/>
        <v>364.35024681510657</v>
      </c>
      <c r="S116" s="220">
        <f t="shared" si="33"/>
        <v>334.47469310472701</v>
      </c>
      <c r="T116" s="221">
        <f t="shared" si="38"/>
        <v>20.593208033206054</v>
      </c>
      <c r="U116" s="222">
        <f t="shared" si="39"/>
        <v>91.263632475512509</v>
      </c>
      <c r="V116" s="223">
        <f t="shared" si="40"/>
        <v>-4.3502468151065727</v>
      </c>
      <c r="W116" s="223">
        <f t="shared" si="41"/>
        <v>25.52530689527299</v>
      </c>
      <c r="X116" s="223"/>
      <c r="Y116" s="280"/>
    </row>
    <row r="117" spans="13:25" hidden="1">
      <c r="M117" s="287">
        <f t="shared" si="34"/>
        <v>14.875608822591069</v>
      </c>
      <c r="N117" s="288">
        <f t="shared" si="21"/>
        <v>14.875608822591069</v>
      </c>
      <c r="O117" s="289">
        <f t="shared" si="35"/>
        <v>0.25962835219293118</v>
      </c>
      <c r="P117" s="219">
        <f t="shared" si="36"/>
        <v>339.2826598952069</v>
      </c>
      <c r="Q117" s="219">
        <f t="shared" si="37"/>
        <v>268.86049959607448</v>
      </c>
      <c r="R117" s="219">
        <f t="shared" si="32"/>
        <v>364.130234148912</v>
      </c>
      <c r="S117" s="220">
        <f t="shared" si="33"/>
        <v>334.69470577092164</v>
      </c>
      <c r="T117" s="221">
        <f t="shared" si="38"/>
        <v>20.717340104793095</v>
      </c>
      <c r="U117" s="222">
        <f t="shared" si="39"/>
        <v>91.139500403925524</v>
      </c>
      <c r="V117" s="223">
        <f t="shared" si="40"/>
        <v>-4.1302341489119954</v>
      </c>
      <c r="W117" s="223">
        <f t="shared" si="41"/>
        <v>25.305294229078356</v>
      </c>
      <c r="X117" s="223"/>
      <c r="Y117" s="280"/>
    </row>
    <row r="118" spans="13:25" hidden="1">
      <c r="M118" s="287">
        <f t="shared" si="34"/>
        <v>14.492317293723481</v>
      </c>
      <c r="N118" s="288">
        <f t="shared" si="21"/>
        <v>14.492317293723481</v>
      </c>
      <c r="O118" s="289">
        <f t="shared" si="35"/>
        <v>0.25293865301918889</v>
      </c>
      <c r="P118" s="219">
        <f t="shared" si="36"/>
        <v>339.15446845119016</v>
      </c>
      <c r="Q118" s="219">
        <f t="shared" si="37"/>
        <v>268.98869104009128</v>
      </c>
      <c r="R118" s="219">
        <f t="shared" si="32"/>
        <v>363.89675457647638</v>
      </c>
      <c r="S118" s="220">
        <f t="shared" si="33"/>
        <v>334.9281853433572</v>
      </c>
      <c r="T118" s="221">
        <f t="shared" si="38"/>
        <v>20.845531548809845</v>
      </c>
      <c r="U118" s="222">
        <f t="shared" si="39"/>
        <v>91.011308959908717</v>
      </c>
      <c r="V118" s="223">
        <f t="shared" si="40"/>
        <v>-3.8967545764763827</v>
      </c>
      <c r="W118" s="223">
        <f t="shared" si="41"/>
        <v>25.0718146566428</v>
      </c>
      <c r="X118" s="223"/>
      <c r="Y118" s="280"/>
    </row>
    <row r="119" spans="13:25" hidden="1">
      <c r="M119" s="287">
        <f t="shared" si="34"/>
        <v>14.109025764855893</v>
      </c>
      <c r="N119" s="288">
        <f t="shared" si="21"/>
        <v>14.109025764855893</v>
      </c>
      <c r="O119" s="289">
        <f t="shared" si="35"/>
        <v>0.24624895384544659</v>
      </c>
      <c r="P119" s="219">
        <f t="shared" si="36"/>
        <v>339.02218595101306</v>
      </c>
      <c r="Q119" s="219">
        <f t="shared" si="37"/>
        <v>269.12097354026838</v>
      </c>
      <c r="R119" s="219">
        <f t="shared" si="32"/>
        <v>363.64918938972852</v>
      </c>
      <c r="S119" s="220">
        <f t="shared" si="33"/>
        <v>335.17575053010506</v>
      </c>
      <c r="T119" s="221">
        <f t="shared" si="38"/>
        <v>20.977814048986943</v>
      </c>
      <c r="U119" s="222">
        <f t="shared" si="39"/>
        <v>90.87902645973162</v>
      </c>
      <c r="V119" s="223">
        <f t="shared" si="40"/>
        <v>-3.6491893897285195</v>
      </c>
      <c r="W119" s="223">
        <f t="shared" si="41"/>
        <v>24.824249469894937</v>
      </c>
      <c r="X119" s="223"/>
      <c r="Y119" s="280"/>
    </row>
    <row r="120" spans="13:25" hidden="1">
      <c r="M120" s="287">
        <f t="shared" si="34"/>
        <v>13.725734235988305</v>
      </c>
      <c r="N120" s="288">
        <f t="shared" si="21"/>
        <v>13.725734235988305</v>
      </c>
      <c r="O120" s="289">
        <f t="shared" si="35"/>
        <v>0.2395592546717043</v>
      </c>
      <c r="P120" s="219">
        <f t="shared" si="36"/>
        <v>338.88577801800182</v>
      </c>
      <c r="Q120" s="219">
        <f t="shared" si="37"/>
        <v>269.25738147327962</v>
      </c>
      <c r="R120" s="219">
        <f t="shared" si="32"/>
        <v>363.38683245216032</v>
      </c>
      <c r="S120" s="220">
        <f t="shared" si="33"/>
        <v>335.43810746767332</v>
      </c>
      <c r="T120" s="221">
        <f t="shared" si="38"/>
        <v>21.114221981998185</v>
      </c>
      <c r="U120" s="222">
        <f t="shared" si="39"/>
        <v>90.742618526720378</v>
      </c>
      <c r="V120" s="223">
        <f t="shared" si="40"/>
        <v>-3.3868324521603199</v>
      </c>
      <c r="W120" s="223">
        <f t="shared" si="41"/>
        <v>24.561892532326681</v>
      </c>
      <c r="X120" s="223"/>
      <c r="Y120" s="280"/>
    </row>
    <row r="121" spans="13:25" hidden="1">
      <c r="M121" s="287">
        <f t="shared" si="34"/>
        <v>13.342442707120718</v>
      </c>
      <c r="N121" s="288">
        <f t="shared" si="21"/>
        <v>13.342442707120718</v>
      </c>
      <c r="O121" s="289">
        <f t="shared" si="35"/>
        <v>0.23286955549796198</v>
      </c>
      <c r="P121" s="219">
        <f t="shared" si="36"/>
        <v>338.74520749990296</v>
      </c>
      <c r="Q121" s="219">
        <f t="shared" si="37"/>
        <v>269.39795199137848</v>
      </c>
      <c r="R121" s="219">
        <f t="shared" si="32"/>
        <v>363.10887485967191</v>
      </c>
      <c r="S121" s="220">
        <f t="shared" si="33"/>
        <v>335.71606506016172</v>
      </c>
      <c r="T121" s="221">
        <f t="shared" si="38"/>
        <v>21.254792500097039</v>
      </c>
      <c r="U121" s="222">
        <f t="shared" si="39"/>
        <v>90.602048008621523</v>
      </c>
      <c r="V121" s="223">
        <f t="shared" si="40"/>
        <v>-3.1088748596719142</v>
      </c>
      <c r="W121" s="223">
        <f t="shared" si="41"/>
        <v>24.283934939838275</v>
      </c>
      <c r="X121" s="223"/>
      <c r="Y121" s="280"/>
    </row>
    <row r="122" spans="13:25" hidden="1">
      <c r="M122" s="287">
        <f t="shared" si="34"/>
        <v>12.95915117825313</v>
      </c>
      <c r="N122" s="288">
        <f t="shared" si="21"/>
        <v>12.95915117825313</v>
      </c>
      <c r="O122" s="289">
        <f t="shared" si="35"/>
        <v>0.22617985632421969</v>
      </c>
      <c r="P122" s="219">
        <f t="shared" si="36"/>
        <v>338.60043437853079</v>
      </c>
      <c r="Q122" s="219">
        <f t="shared" si="37"/>
        <v>269.54272511275065</v>
      </c>
      <c r="R122" s="219">
        <f t="shared" si="32"/>
        <v>362.81438570683156</v>
      </c>
      <c r="S122" s="220">
        <f t="shared" si="33"/>
        <v>336.01055421300208</v>
      </c>
      <c r="T122" s="221">
        <f t="shared" si="38"/>
        <v>21.399565621469208</v>
      </c>
      <c r="U122" s="222">
        <f t="shared" si="39"/>
        <v>90.457274887249355</v>
      </c>
      <c r="V122" s="223">
        <f t="shared" si="40"/>
        <v>-2.8143857068315583</v>
      </c>
      <c r="W122" s="223">
        <f t="shared" si="41"/>
        <v>23.989445786997919</v>
      </c>
      <c r="X122" s="223"/>
      <c r="Y122" s="280"/>
    </row>
    <row r="123" spans="13:25" hidden="1">
      <c r="M123" s="287">
        <f t="shared" si="34"/>
        <v>12.575859649385542</v>
      </c>
      <c r="N123" s="288">
        <f t="shared" si="21"/>
        <v>12.575859649385542</v>
      </c>
      <c r="O123" s="289">
        <f t="shared" si="35"/>
        <v>0.2194901571504774</v>
      </c>
      <c r="P123" s="219">
        <f t="shared" si="36"/>
        <v>338.45141567115928</v>
      </c>
      <c r="Q123" s="219">
        <f t="shared" si="37"/>
        <v>269.69174382012216</v>
      </c>
      <c r="R123" s="219">
        <f t="shared" si="32"/>
        <v>362.5022876921559</v>
      </c>
      <c r="S123" s="220">
        <f t="shared" si="33"/>
        <v>336.32265222767768</v>
      </c>
      <c r="T123" s="221">
        <f t="shared" si="38"/>
        <v>21.548584328840718</v>
      </c>
      <c r="U123" s="222">
        <f t="shared" si="39"/>
        <v>90.308256179877844</v>
      </c>
      <c r="V123" s="223">
        <f t="shared" si="40"/>
        <v>-2.5022876921559032</v>
      </c>
      <c r="W123" s="223">
        <f t="shared" si="41"/>
        <v>23.677347772322321</v>
      </c>
      <c r="X123" s="223"/>
      <c r="Y123" s="280"/>
    </row>
    <row r="124" spans="13:25" hidden="1">
      <c r="M124" s="287">
        <f t="shared" si="34"/>
        <v>12.192568120517954</v>
      </c>
      <c r="N124" s="288">
        <f t="shared" si="21"/>
        <v>12.192568120517954</v>
      </c>
      <c r="O124" s="289">
        <f t="shared" si="35"/>
        <v>0.21280045797673511</v>
      </c>
      <c r="P124" s="219">
        <f t="shared" si="36"/>
        <v>338.29810532305669</v>
      </c>
      <c r="Q124" s="219">
        <f t="shared" si="37"/>
        <v>269.84505416822475</v>
      </c>
      <c r="R124" s="219">
        <f t="shared" si="32"/>
        <v>362.17132577510068</v>
      </c>
      <c r="S124" s="220">
        <f t="shared" si="33"/>
        <v>336.65361414473296</v>
      </c>
      <c r="T124" s="221">
        <f t="shared" si="38"/>
        <v>21.701894676943311</v>
      </c>
      <c r="U124" s="222">
        <f t="shared" si="39"/>
        <v>90.154945831775251</v>
      </c>
      <c r="V124" s="223">
        <f t="shared" si="40"/>
        <v>-2.1713257751006836</v>
      </c>
      <c r="W124" s="223">
        <f t="shared" si="41"/>
        <v>23.346385855267044</v>
      </c>
      <c r="X124" s="223"/>
      <c r="Y124" s="280"/>
    </row>
    <row r="125" spans="13:25" hidden="1">
      <c r="M125" s="287">
        <f t="shared" si="34"/>
        <v>11.809276591650367</v>
      </c>
      <c r="N125" s="288">
        <f t="shared" si="21"/>
        <v>11.809276591650367</v>
      </c>
      <c r="O125" s="289">
        <f t="shared" si="35"/>
        <v>0.20611075880299279</v>
      </c>
      <c r="P125" s="219">
        <f t="shared" si="36"/>
        <v>338.1404540904968</v>
      </c>
      <c r="Q125" s="219">
        <f t="shared" si="37"/>
        <v>270.00270540078463</v>
      </c>
      <c r="R125" s="219">
        <f t="shared" si="32"/>
        <v>361.82002631228931</v>
      </c>
      <c r="S125" s="220">
        <f t="shared" si="33"/>
        <v>337.00491360754432</v>
      </c>
      <c r="T125" s="221">
        <f t="shared" si="38"/>
        <v>21.859545909503197</v>
      </c>
      <c r="U125" s="222">
        <f t="shared" si="39"/>
        <v>89.997294599215365</v>
      </c>
      <c r="V125" s="223">
        <f t="shared" si="40"/>
        <v>-1.8200263122893148</v>
      </c>
      <c r="W125" s="223">
        <f t="shared" si="41"/>
        <v>22.995086392455676</v>
      </c>
      <c r="X125" s="223"/>
      <c r="Y125" s="280"/>
    </row>
    <row r="126" spans="13:25" hidden="1">
      <c r="M126" s="287">
        <f t="shared" si="34"/>
        <v>11.425985062782779</v>
      </c>
      <c r="N126" s="288">
        <f t="shared" si="21"/>
        <v>11.425985062782779</v>
      </c>
      <c r="O126" s="289">
        <f t="shared" si="35"/>
        <v>0.1994210596292505</v>
      </c>
      <c r="P126" s="219">
        <f t="shared" si="36"/>
        <v>337.97840941350256</v>
      </c>
      <c r="Q126" s="219">
        <f t="shared" si="37"/>
        <v>270.16475007777888</v>
      </c>
      <c r="R126" s="219">
        <f t="shared" si="32"/>
        <v>361.44664288787953</v>
      </c>
      <c r="S126" s="220">
        <f t="shared" si="33"/>
        <v>337.37829703195411</v>
      </c>
      <c r="T126" s="221">
        <f t="shared" si="38"/>
        <v>22.021590586497439</v>
      </c>
      <c r="U126" s="222">
        <f t="shared" si="39"/>
        <v>89.835249922221124</v>
      </c>
      <c r="V126" s="223">
        <f t="shared" si="40"/>
        <v>-1.4466428878795341</v>
      </c>
      <c r="W126" s="223">
        <f t="shared" si="41"/>
        <v>22.621702968045895</v>
      </c>
      <c r="X126" s="223"/>
      <c r="Y126" s="280"/>
    </row>
    <row r="127" spans="13:25" hidden="1">
      <c r="M127" s="287">
        <f t="shared" si="34"/>
        <v>11.042693533915191</v>
      </c>
      <c r="N127" s="288">
        <f t="shared" si="21"/>
        <v>11.042693533915191</v>
      </c>
      <c r="O127" s="289">
        <f t="shared" si="35"/>
        <v>0.1927313604555082</v>
      </c>
      <c r="P127" s="219">
        <f t="shared" si="36"/>
        <v>337.81191527749633</v>
      </c>
      <c r="Q127" s="219">
        <f t="shared" si="37"/>
        <v>270.33124421378511</v>
      </c>
      <c r="R127" s="219">
        <f t="shared" si="32"/>
        <v>361.04908312789979</v>
      </c>
      <c r="S127" s="220">
        <f t="shared" si="33"/>
        <v>337.77585679193385</v>
      </c>
      <c r="T127" s="221">
        <f t="shared" si="38"/>
        <v>22.188084722503675</v>
      </c>
      <c r="U127" s="222">
        <f t="shared" si="39"/>
        <v>89.668755786214888</v>
      </c>
      <c r="V127" s="223">
        <f t="shared" si="40"/>
        <v>-1.0490831278997916</v>
      </c>
      <c r="W127" s="223">
        <f t="shared" si="41"/>
        <v>22.224143208066153</v>
      </c>
      <c r="X127" s="223"/>
      <c r="Y127" s="280"/>
    </row>
    <row r="128" spans="13:25" hidden="1">
      <c r="M128" s="287">
        <f t="shared" si="34"/>
        <v>10.659402005047603</v>
      </c>
      <c r="N128" s="288">
        <f t="shared" si="21"/>
        <v>10.659402005047603</v>
      </c>
      <c r="O128" s="289">
        <f t="shared" si="35"/>
        <v>0.18604166128176591</v>
      </c>
      <c r="P128" s="219">
        <f t="shared" si="36"/>
        <v>337.64091206293574</v>
      </c>
      <c r="Q128" s="219">
        <f t="shared" si="37"/>
        <v>270.5022474283457</v>
      </c>
      <c r="R128" s="219">
        <f t="shared" si="32"/>
        <v>360.62480763518386</v>
      </c>
      <c r="S128" s="220">
        <f t="shared" si="33"/>
        <v>338.20013228464978</v>
      </c>
      <c r="T128" s="221">
        <f t="shared" si="38"/>
        <v>22.35908793706426</v>
      </c>
      <c r="U128" s="222">
        <f t="shared" si="39"/>
        <v>89.497752571654303</v>
      </c>
      <c r="V128" s="223">
        <f t="shared" si="40"/>
        <v>-0.62480763518385629</v>
      </c>
      <c r="W128" s="223">
        <f t="shared" si="41"/>
        <v>21.799867715350217</v>
      </c>
      <c r="X128" s="223"/>
      <c r="Y128" s="280"/>
    </row>
    <row r="129" spans="13:25" hidden="1">
      <c r="M129" s="287">
        <f t="shared" si="34"/>
        <v>10.276110476180015</v>
      </c>
      <c r="N129" s="288">
        <f t="shared" si="21"/>
        <v>10.276110476180015</v>
      </c>
      <c r="O129" s="289">
        <f t="shared" si="35"/>
        <v>0.17935196210802359</v>
      </c>
      <c r="P129" s="219">
        <f t="shared" si="36"/>
        <v>337.4653363819084</v>
      </c>
      <c r="Q129" s="219">
        <f t="shared" si="37"/>
        <v>270.67782310937304</v>
      </c>
      <c r="R129" s="219">
        <f t="shared" si="32"/>
        <v>360.17068682760004</v>
      </c>
      <c r="S129" s="220">
        <f t="shared" si="33"/>
        <v>338.6542530922336</v>
      </c>
      <c r="T129" s="221">
        <f t="shared" si="38"/>
        <v>22.534663618091599</v>
      </c>
      <c r="U129" s="222">
        <f t="shared" si="39"/>
        <v>89.322176890626963</v>
      </c>
      <c r="V129" s="223">
        <f t="shared" si="40"/>
        <v>-0.17068682760003639</v>
      </c>
      <c r="W129" s="223">
        <f t="shared" si="41"/>
        <v>21.345746907766397</v>
      </c>
      <c r="X129" s="223"/>
      <c r="Y129" s="280"/>
    </row>
    <row r="130" spans="13:25" hidden="1">
      <c r="M130" s="287">
        <f t="shared" si="34"/>
        <v>9.8928189473124277</v>
      </c>
      <c r="N130" s="288">
        <f t="shared" si="21"/>
        <v>9.8928189473124277</v>
      </c>
      <c r="O130" s="289">
        <f t="shared" si="35"/>
        <v>0.1726622629342813</v>
      </c>
      <c r="P130" s="219">
        <f t="shared" si="36"/>
        <v>337.28512090054022</v>
      </c>
      <c r="Q130" s="219">
        <f t="shared" si="37"/>
        <v>270.85803859074116</v>
      </c>
      <c r="R130" s="219">
        <f t="shared" si="32"/>
        <v>359.68279198386125</v>
      </c>
      <c r="S130" s="220">
        <f t="shared" si="33"/>
        <v>339.14214793597233</v>
      </c>
      <c r="T130" s="221">
        <f t="shared" si="38"/>
        <v>22.714879099459779</v>
      </c>
      <c r="U130" s="222">
        <f t="shared" si="39"/>
        <v>89.14196140925884</v>
      </c>
      <c r="V130" s="223">
        <f t="shared" si="40"/>
        <v>0.31720801613874983</v>
      </c>
      <c r="W130" s="223">
        <f t="shared" si="41"/>
        <v>20.857852064027668</v>
      </c>
      <c r="X130" s="223"/>
      <c r="Y130" s="280"/>
    </row>
    <row r="131" spans="13:25" hidden="1">
      <c r="M131" s="287">
        <f t="shared" si="34"/>
        <v>9.50952741844484</v>
      </c>
      <c r="N131" s="288">
        <f t="shared" si="21"/>
        <v>9.50952741844484</v>
      </c>
      <c r="O131" s="289">
        <f t="shared" si="35"/>
        <v>0.16597256376053901</v>
      </c>
      <c r="P131" s="219">
        <f t="shared" si="36"/>
        <v>337.10019414593739</v>
      </c>
      <c r="Q131" s="219">
        <f t="shared" si="37"/>
        <v>271.04296534534404</v>
      </c>
      <c r="R131" s="219">
        <f t="shared" si="32"/>
        <v>359.15607917476723</v>
      </c>
      <c r="S131" s="220">
        <f t="shared" si="33"/>
        <v>339.66886074506635</v>
      </c>
      <c r="T131" s="221">
        <f t="shared" si="38"/>
        <v>22.899805854062606</v>
      </c>
      <c r="U131" s="222">
        <f t="shared" si="39"/>
        <v>88.957034654655956</v>
      </c>
      <c r="V131" s="223">
        <f t="shared" si="40"/>
        <v>0.84392082523277168</v>
      </c>
      <c r="W131" s="223">
        <f t="shared" si="41"/>
        <v>20.331139254933646</v>
      </c>
      <c r="X131" s="223"/>
      <c r="Y131" s="280"/>
    </row>
    <row r="132" spans="13:25" hidden="1">
      <c r="M132" s="287">
        <f t="shared" si="34"/>
        <v>9.1262358895772522</v>
      </c>
      <c r="N132" s="288">
        <f t="shared" si="21"/>
        <v>9.1262358895772522</v>
      </c>
      <c r="O132" s="289">
        <f t="shared" si="35"/>
        <v>0.15928286458679669</v>
      </c>
      <c r="P132" s="219">
        <f t="shared" si="36"/>
        <v>336.91048029622914</v>
      </c>
      <c r="Q132" s="219">
        <f t="shared" si="37"/>
        <v>271.2326791950523</v>
      </c>
      <c r="R132" s="219">
        <f t="shared" si="32"/>
        <v>358.58388999042967</v>
      </c>
      <c r="S132" s="220">
        <f t="shared" si="33"/>
        <v>340.24104992940391</v>
      </c>
      <c r="T132" s="221">
        <f t="shared" si="38"/>
        <v>23.089519703770861</v>
      </c>
      <c r="U132" s="222">
        <f t="shared" si="39"/>
        <v>88.767320804947701</v>
      </c>
      <c r="V132" s="223">
        <f t="shared" si="40"/>
        <v>1.4161100095703318</v>
      </c>
      <c r="W132" s="223">
        <f t="shared" si="41"/>
        <v>19.758950070596086</v>
      </c>
      <c r="X132" s="223"/>
      <c r="Y132" s="280"/>
    </row>
    <row r="133" spans="13:25" hidden="1">
      <c r="M133" s="287">
        <f t="shared" si="34"/>
        <v>8.7429443607096644</v>
      </c>
      <c r="N133" s="288">
        <f t="shared" si="21"/>
        <v>8.7429443607096644</v>
      </c>
      <c r="O133" s="289">
        <f t="shared" si="35"/>
        <v>0.1525931654130544</v>
      </c>
      <c r="P133" s="219">
        <f t="shared" si="36"/>
        <v>336.71589895210741</v>
      </c>
      <c r="Q133" s="219">
        <f t="shared" si="37"/>
        <v>271.42726053917403</v>
      </c>
      <c r="R133" s="219">
        <f t="shared" si="32"/>
        <v>357.95711928134858</v>
      </c>
      <c r="S133" s="220">
        <f t="shared" si="33"/>
        <v>340.86782063848506</v>
      </c>
      <c r="T133" s="221">
        <f t="shared" si="38"/>
        <v>23.284101047892591</v>
      </c>
      <c r="U133" s="222">
        <f t="shared" si="39"/>
        <v>88.572739460825971</v>
      </c>
      <c r="V133" s="223">
        <f t="shared" si="40"/>
        <v>2.0428807186514177</v>
      </c>
      <c r="W133" s="223">
        <f t="shared" si="41"/>
        <v>19.132179361514943</v>
      </c>
      <c r="X133" s="223"/>
      <c r="Y133" s="280"/>
    </row>
    <row r="134" spans="13:25" hidden="1">
      <c r="M134" s="287">
        <f t="shared" si="34"/>
        <v>8.3596528318420766</v>
      </c>
      <c r="N134" s="288">
        <f t="shared" si="21"/>
        <v>8.3596528318420766</v>
      </c>
      <c r="O134" s="289">
        <f t="shared" si="35"/>
        <v>0.14590346623931211</v>
      </c>
      <c r="P134" s="219">
        <f t="shared" si="36"/>
        <v>336.51636488806162</v>
      </c>
      <c r="Q134" s="219">
        <f t="shared" si="37"/>
        <v>271.62679460321982</v>
      </c>
      <c r="R134" s="219">
        <f t="shared" si="32"/>
        <v>357.26272918360826</v>
      </c>
      <c r="S134" s="220">
        <f t="shared" si="33"/>
        <v>341.56221073622532</v>
      </c>
      <c r="T134" s="221">
        <f t="shared" si="38"/>
        <v>23.483635111938383</v>
      </c>
      <c r="U134" s="222">
        <f t="shared" si="39"/>
        <v>88.373205396780179</v>
      </c>
      <c r="V134" s="223">
        <f t="shared" si="40"/>
        <v>2.7372708163917423</v>
      </c>
      <c r="W134" s="223">
        <f t="shared" si="41"/>
        <v>18.437789263774675</v>
      </c>
      <c r="X134" s="223"/>
      <c r="Y134" s="280"/>
    </row>
    <row r="135" spans="13:25" hidden="1">
      <c r="M135" s="287">
        <f t="shared" si="34"/>
        <v>7.976361302974488</v>
      </c>
      <c r="N135" s="288">
        <f t="shared" si="21"/>
        <v>7.976361302974488</v>
      </c>
      <c r="O135" s="289">
        <f t="shared" si="35"/>
        <v>0.13921376706556979</v>
      </c>
      <c r="P135" s="219">
        <f t="shared" si="36"/>
        <v>336.31178778128344</v>
      </c>
      <c r="Q135" s="219">
        <f t="shared" si="37"/>
        <v>271.831371709998</v>
      </c>
      <c r="R135" s="219">
        <f t="shared" si="32"/>
        <v>356.48084283362977</v>
      </c>
      <c r="S135" s="220">
        <f t="shared" si="33"/>
        <v>342.34409708620382</v>
      </c>
      <c r="T135" s="221">
        <f t="shared" si="38"/>
        <v>23.688212218716558</v>
      </c>
      <c r="U135" s="222">
        <f t="shared" si="39"/>
        <v>88.168628290002005</v>
      </c>
      <c r="V135" s="223">
        <f t="shared" si="40"/>
        <v>3.5191571663702348</v>
      </c>
      <c r="W135" s="223">
        <f t="shared" si="41"/>
        <v>17.655902913796183</v>
      </c>
      <c r="X135" s="223"/>
      <c r="Y135" s="280"/>
    </row>
    <row r="136" spans="13:25" hidden="1">
      <c r="M136" s="287">
        <f t="shared" si="34"/>
        <v>7.5930697741068993</v>
      </c>
      <c r="N136" s="288">
        <f t="shared" ref="N136:N193" si="42">N135-step</f>
        <v>7.5930697741068993</v>
      </c>
      <c r="O136" s="289">
        <f t="shared" si="35"/>
        <v>0.13252406789182747</v>
      </c>
      <c r="P136" s="219">
        <f t="shared" si="36"/>
        <v>336.10207191596078</v>
      </c>
      <c r="Q136" s="219">
        <f t="shared" si="37"/>
        <v>272.04108757532066</v>
      </c>
      <c r="R136" s="219">
        <f t="shared" ref="R136:R167" si="43">IFERROR(DEGREES(grt_+ACOS((SIN(h_)-SIN(d_)*SIN(O136))/COS(d_)/COS(O136))),#N/A)</f>
        <v>355.57828627861693</v>
      </c>
      <c r="S136" s="220">
        <f t="shared" ref="S136:S167" si="44">IFERROR(DEGREES(grt_-ACOS((SIN(h_)-SIN(d_)*SIN(O136))/COS(d_)/COS(O136))),#N/A)</f>
        <v>343.24665364121665</v>
      </c>
      <c r="T136" s="221">
        <f t="shared" si="38"/>
        <v>23.897928084039222</v>
      </c>
      <c r="U136" s="222">
        <f t="shared" si="39"/>
        <v>87.95891242467934</v>
      </c>
      <c r="V136" s="223">
        <f t="shared" si="40"/>
        <v>4.4217137213830711</v>
      </c>
      <c r="W136" s="223">
        <f t="shared" si="41"/>
        <v>16.753346358783347</v>
      </c>
      <c r="X136" s="223"/>
      <c r="Y136" s="280"/>
    </row>
    <row r="137" spans="13:25" hidden="1">
      <c r="M137" s="287">
        <f t="shared" si="34"/>
        <v>7.2097782452393107</v>
      </c>
      <c r="N137" s="288">
        <f t="shared" si="42"/>
        <v>7.2097782452393107</v>
      </c>
      <c r="O137" s="289">
        <f t="shared" si="35"/>
        <v>0.12583436871808515</v>
      </c>
      <c r="P137" s="219">
        <f t="shared" si="36"/>
        <v>335.8871158603859</v>
      </c>
      <c r="Q137" s="219">
        <f t="shared" si="37"/>
        <v>272.25604363089553</v>
      </c>
      <c r="R137" s="219">
        <f t="shared" si="43"/>
        <v>354.491149701403</v>
      </c>
      <c r="S137" s="220">
        <f t="shared" si="44"/>
        <v>344.33379021843058</v>
      </c>
      <c r="T137" s="221">
        <f t="shared" si="38"/>
        <v>24.112884139614096</v>
      </c>
      <c r="U137" s="222">
        <f t="shared" si="39"/>
        <v>87.743956369104467</v>
      </c>
      <c r="V137" s="223">
        <f t="shared" si="40"/>
        <v>5.5088502985969967</v>
      </c>
      <c r="W137" s="223">
        <f t="shared" si="41"/>
        <v>15.666209781569421</v>
      </c>
      <c r="X137" s="223"/>
      <c r="Y137" s="280"/>
    </row>
    <row r="138" spans="13:25" hidden="1">
      <c r="M138" s="287">
        <f t="shared" si="34"/>
        <v>6.826486716371722</v>
      </c>
      <c r="N138" s="288">
        <f t="shared" si="42"/>
        <v>6.826486716371722</v>
      </c>
      <c r="O138" s="289">
        <f t="shared" si="35"/>
        <v>0.11914466954434284</v>
      </c>
      <c r="P138" s="219">
        <f t="shared" si="36"/>
        <v>335.66681211396605</v>
      </c>
      <c r="Q138" s="219">
        <f t="shared" si="37"/>
        <v>272.47634737731539</v>
      </c>
      <c r="R138" s="219">
        <f t="shared" si="43"/>
        <v>353.05790060193681</v>
      </c>
      <c r="S138" s="220">
        <f t="shared" si="44"/>
        <v>345.76703931789677</v>
      </c>
      <c r="T138" s="221">
        <f t="shared" si="38"/>
        <v>24.333187886033954</v>
      </c>
      <c r="U138" s="222">
        <f t="shared" si="39"/>
        <v>87.523652622684608</v>
      </c>
      <c r="V138" s="223">
        <f t="shared" si="40"/>
        <v>6.942099398063192</v>
      </c>
      <c r="W138" s="223">
        <f t="shared" si="41"/>
        <v>14.232960682103226</v>
      </c>
      <c r="X138" s="223"/>
      <c r="Y138" s="280"/>
    </row>
    <row r="139" spans="13:25" hidden="1">
      <c r="M139" s="287">
        <f t="shared" si="34"/>
        <v>6.4431951875041333</v>
      </c>
      <c r="N139" s="288">
        <f t="shared" si="42"/>
        <v>6.4431951875041333</v>
      </c>
      <c r="O139" s="289">
        <f t="shared" si="35"/>
        <v>0.11245497037060052</v>
      </c>
      <c r="P139" s="219">
        <f t="shared" si="36"/>
        <v>335.44104672083608</v>
      </c>
      <c r="Q139" s="219">
        <f t="shared" si="37"/>
        <v>272.70211277044535</v>
      </c>
      <c r="R139" s="219">
        <f t="shared" si="43"/>
        <v>350.12376958800905</v>
      </c>
      <c r="S139" s="220">
        <f t="shared" si="44"/>
        <v>348.70117033182458</v>
      </c>
      <c r="T139" s="221">
        <f t="shared" si="38"/>
        <v>24.558953279163916</v>
      </c>
      <c r="U139" s="222">
        <f t="shared" si="39"/>
        <v>87.297887229554647</v>
      </c>
      <c r="V139" s="223">
        <f t="shared" si="40"/>
        <v>9.8762304119909459</v>
      </c>
      <c r="W139" s="223">
        <f t="shared" si="41"/>
        <v>11.298829668175415</v>
      </c>
      <c r="X139" s="223"/>
      <c r="Y139" s="280"/>
    </row>
    <row r="140" spans="13:25" hidden="1">
      <c r="M140" s="287">
        <f t="shared" si="34"/>
        <v>6.0599036586365447</v>
      </c>
      <c r="N140" s="288">
        <f t="shared" si="42"/>
        <v>6.0599036586365447</v>
      </c>
      <c r="O140" s="289">
        <f t="shared" si="35"/>
        <v>0.10576527119685822</v>
      </c>
      <c r="P140" s="219">
        <f t="shared" si="36"/>
        <v>335.20969884632308</v>
      </c>
      <c r="Q140" s="219">
        <f t="shared" si="37"/>
        <v>272.93346064495836</v>
      </c>
      <c r="R140" s="219" t="e">
        <f t="shared" si="43"/>
        <v>#N/A</v>
      </c>
      <c r="S140" s="220" t="e">
        <f t="shared" si="44"/>
        <v>#N/A</v>
      </c>
      <c r="T140" s="221">
        <f t="shared" si="38"/>
        <v>24.790301153676921</v>
      </c>
      <c r="U140" s="222">
        <f t="shared" si="39"/>
        <v>87.066539355041641</v>
      </c>
      <c r="V140" s="223" t="e">
        <f t="shared" si="40"/>
        <v>#N/A</v>
      </c>
      <c r="W140" s="223" t="e">
        <f t="shared" si="41"/>
        <v>#N/A</v>
      </c>
      <c r="X140" s="223"/>
      <c r="Y140" s="280"/>
    </row>
    <row r="141" spans="13:25" hidden="1">
      <c r="M141" s="287">
        <f t="shared" si="34"/>
        <v>5.676612129768956</v>
      </c>
      <c r="N141" s="288">
        <f t="shared" si="42"/>
        <v>5.676612129768956</v>
      </c>
      <c r="O141" s="289">
        <f t="shared" si="35"/>
        <v>9.9075572023115899E-2</v>
      </c>
      <c r="P141" s="219">
        <f t="shared" si="36"/>
        <v>334.97264031199177</v>
      </c>
      <c r="Q141" s="219">
        <f t="shared" si="37"/>
        <v>273.17051917928967</v>
      </c>
      <c r="R141" s="219" t="e">
        <f t="shared" si="43"/>
        <v>#N/A</v>
      </c>
      <c r="S141" s="220" t="e">
        <f t="shared" si="44"/>
        <v>#N/A</v>
      </c>
      <c r="T141" s="221">
        <f t="shared" si="38"/>
        <v>25.027359688008232</v>
      </c>
      <c r="U141" s="222">
        <f t="shared" si="39"/>
        <v>86.82948082071033</v>
      </c>
      <c r="V141" s="223" t="e">
        <f t="shared" si="40"/>
        <v>#N/A</v>
      </c>
      <c r="W141" s="223" t="e">
        <f t="shared" si="41"/>
        <v>#N/A</v>
      </c>
      <c r="X141" s="223"/>
      <c r="Y141" s="280"/>
    </row>
    <row r="142" spans="13:25" hidden="1">
      <c r="M142" s="287">
        <f t="shared" si="34"/>
        <v>5.2933206009013674</v>
      </c>
      <c r="N142" s="288">
        <f t="shared" si="42"/>
        <v>5.2933206009013674</v>
      </c>
      <c r="O142" s="289">
        <f t="shared" si="35"/>
        <v>9.2385872849373579E-2</v>
      </c>
      <c r="P142" s="219">
        <f t="shared" si="36"/>
        <v>334.72973508439441</v>
      </c>
      <c r="Q142" s="219">
        <f t="shared" si="37"/>
        <v>273.41342440688703</v>
      </c>
      <c r="R142" s="219" t="e">
        <f t="shared" si="43"/>
        <v>#N/A</v>
      </c>
      <c r="S142" s="220" t="e">
        <f t="shared" si="44"/>
        <v>#N/A</v>
      </c>
      <c r="T142" s="221">
        <f t="shared" si="38"/>
        <v>25.270264915605594</v>
      </c>
      <c r="U142" s="222">
        <f t="shared" si="39"/>
        <v>86.586575593112968</v>
      </c>
      <c r="V142" s="223" t="e">
        <f t="shared" si="40"/>
        <v>#N/A</v>
      </c>
      <c r="W142" s="223" t="e">
        <f t="shared" si="41"/>
        <v>#N/A</v>
      </c>
      <c r="X142" s="223"/>
      <c r="Y142" s="280"/>
    </row>
    <row r="143" spans="13:25" hidden="1">
      <c r="M143" s="287">
        <f t="shared" si="34"/>
        <v>4.9100290720337787</v>
      </c>
      <c r="N143" s="288">
        <f t="shared" si="42"/>
        <v>4.9100290720337787</v>
      </c>
      <c r="O143" s="289">
        <f t="shared" si="35"/>
        <v>8.5696173675631274E-2</v>
      </c>
      <c r="P143" s="219">
        <f t="shared" si="36"/>
        <v>334.48083871194177</v>
      </c>
      <c r="Q143" s="219">
        <f t="shared" si="37"/>
        <v>273.66232077933967</v>
      </c>
      <c r="R143" s="219" t="e">
        <f t="shared" si="43"/>
        <v>#N/A</v>
      </c>
      <c r="S143" s="220" t="e">
        <f t="shared" si="44"/>
        <v>#N/A</v>
      </c>
      <c r="T143" s="221">
        <f t="shared" si="38"/>
        <v>25.519161288058228</v>
      </c>
      <c r="U143" s="222">
        <f t="shared" si="39"/>
        <v>86.337679220660334</v>
      </c>
      <c r="V143" s="223" t="e">
        <f t="shared" si="40"/>
        <v>#N/A</v>
      </c>
      <c r="W143" s="223" t="e">
        <f t="shared" si="41"/>
        <v>#N/A</v>
      </c>
      <c r="X143" s="223"/>
      <c r="Y143" s="280"/>
    </row>
    <row r="144" spans="13:25" hidden="1">
      <c r="M144" s="287">
        <f t="shared" si="34"/>
        <v>4.52673754316619</v>
      </c>
      <c r="N144" s="288">
        <f t="shared" si="42"/>
        <v>4.52673754316619</v>
      </c>
      <c r="O144" s="289">
        <f t="shared" si="35"/>
        <v>7.9006474501888954E-2</v>
      </c>
      <c r="P144" s="219">
        <f t="shared" si="36"/>
        <v>334.22579770348403</v>
      </c>
      <c r="Q144" s="219">
        <f t="shared" si="37"/>
        <v>273.9173617877974</v>
      </c>
      <c r="R144" s="219" t="e">
        <f t="shared" si="43"/>
        <v>#N/A</v>
      </c>
      <c r="S144" s="220" t="e">
        <f t="shared" si="44"/>
        <v>#N/A</v>
      </c>
      <c r="T144" s="221">
        <f t="shared" si="38"/>
        <v>25.774202296515966</v>
      </c>
      <c r="U144" s="222">
        <f t="shared" si="39"/>
        <v>86.082638212202596</v>
      </c>
      <c r="V144" s="223" t="e">
        <f t="shared" si="40"/>
        <v>#N/A</v>
      </c>
      <c r="W144" s="223" t="e">
        <f t="shared" si="41"/>
        <v>#N/A</v>
      </c>
      <c r="X144" s="223"/>
      <c r="Y144" s="280"/>
    </row>
    <row r="145" spans="13:25" hidden="1">
      <c r="M145" s="287">
        <f t="shared" si="34"/>
        <v>4.1434460142986014</v>
      </c>
      <c r="N145" s="288">
        <f t="shared" si="42"/>
        <v>4.1434460142986014</v>
      </c>
      <c r="O145" s="289">
        <f t="shared" si="35"/>
        <v>7.2316775328146635E-2</v>
      </c>
      <c r="P145" s="219">
        <f t="shared" si="36"/>
        <v>333.96444884121905</v>
      </c>
      <c r="Q145" s="219">
        <f t="shared" si="37"/>
        <v>274.17871065006238</v>
      </c>
      <c r="R145" s="219" t="e">
        <f t="shared" si="43"/>
        <v>#N/A</v>
      </c>
      <c r="S145" s="220" t="e">
        <f t="shared" si="44"/>
        <v>#N/A</v>
      </c>
      <c r="T145" s="221">
        <f t="shared" si="38"/>
        <v>26.035551158780947</v>
      </c>
      <c r="U145" s="222">
        <f t="shared" si="39"/>
        <v>85.821289349937615</v>
      </c>
      <c r="V145" s="223" t="e">
        <f t="shared" si="40"/>
        <v>#N/A</v>
      </c>
      <c r="W145" s="223" t="e">
        <f t="shared" si="41"/>
        <v>#N/A</v>
      </c>
      <c r="X145" s="223"/>
      <c r="Y145" s="280"/>
    </row>
    <row r="146" spans="13:25" hidden="1">
      <c r="M146" s="287">
        <f t="shared" si="34"/>
        <v>3.7601544854310132</v>
      </c>
      <c r="N146" s="288">
        <f t="shared" si="42"/>
        <v>3.7601544854310132</v>
      </c>
      <c r="O146" s="289">
        <f t="shared" si="35"/>
        <v>6.5627076154404329E-2</v>
      </c>
      <c r="P146" s="219">
        <f t="shared" si="36"/>
        <v>333.69661841940172</v>
      </c>
      <c r="Q146" s="219">
        <f t="shared" si="37"/>
        <v>274.44654107187972</v>
      </c>
      <c r="R146" s="219" t="e">
        <f t="shared" si="43"/>
        <v>#N/A</v>
      </c>
      <c r="S146" s="220" t="e">
        <f t="shared" si="44"/>
        <v>#N/A</v>
      </c>
      <c r="T146" s="221">
        <f t="shared" si="38"/>
        <v>26.303381580598284</v>
      </c>
      <c r="U146" s="222">
        <f t="shared" si="39"/>
        <v>85.553458928120278</v>
      </c>
      <c r="V146" s="223" t="e">
        <f t="shared" si="40"/>
        <v>#N/A</v>
      </c>
      <c r="W146" s="223" t="e">
        <f t="shared" si="41"/>
        <v>#N/A</v>
      </c>
      <c r="X146" s="223"/>
      <c r="Y146" s="280"/>
    </row>
    <row r="147" spans="13:25" hidden="1">
      <c r="M147" s="287">
        <f t="shared" si="34"/>
        <v>3.3768629565634249</v>
      </c>
      <c r="N147" s="288">
        <f t="shared" si="42"/>
        <v>3.3768629565634249</v>
      </c>
      <c r="O147" s="289">
        <f t="shared" si="35"/>
        <v>5.8937376980662023E-2</v>
      </c>
      <c r="P147" s="219">
        <f t="shared" si="36"/>
        <v>333.42212139896787</v>
      </c>
      <c r="Q147" s="219">
        <f t="shared" si="37"/>
        <v>274.72103809231351</v>
      </c>
      <c r="R147" s="219" t="e">
        <f t="shared" si="43"/>
        <v>#N/A</v>
      </c>
      <c r="S147" s="220" t="e">
        <f t="shared" si="44"/>
        <v>#N/A</v>
      </c>
      <c r="T147" s="221">
        <f t="shared" si="38"/>
        <v>26.577878601032126</v>
      </c>
      <c r="U147" s="222">
        <f t="shared" si="39"/>
        <v>85.278961907686494</v>
      </c>
      <c r="V147" s="223" t="e">
        <f t="shared" si="40"/>
        <v>#N/A</v>
      </c>
      <c r="W147" s="223" t="e">
        <f t="shared" si="41"/>
        <v>#N/A</v>
      </c>
      <c r="X147" s="223"/>
      <c r="Y147" s="280"/>
    </row>
    <row r="148" spans="13:25" hidden="1">
      <c r="M148" s="287">
        <f t="shared" si="34"/>
        <v>2.9935714276958367</v>
      </c>
      <c r="N148" s="288">
        <f t="shared" si="42"/>
        <v>2.9935714276958367</v>
      </c>
      <c r="O148" s="289">
        <f t="shared" si="35"/>
        <v>5.2247677806919718E-2</v>
      </c>
      <c r="P148" s="219">
        <f t="shared" si="36"/>
        <v>333.14076046658323</v>
      </c>
      <c r="Q148" s="219">
        <f t="shared" si="37"/>
        <v>275.00239902469821</v>
      </c>
      <c r="R148" s="219" t="e">
        <f t="shared" si="43"/>
        <v>#N/A</v>
      </c>
      <c r="S148" s="220" t="e">
        <f t="shared" si="44"/>
        <v>#N/A</v>
      </c>
      <c r="T148" s="221">
        <f t="shared" si="38"/>
        <v>26.859239533416769</v>
      </c>
      <c r="U148" s="222">
        <f t="shared" si="39"/>
        <v>84.997600975301793</v>
      </c>
      <c r="V148" s="223" t="e">
        <f t="shared" si="40"/>
        <v>#N/A</v>
      </c>
      <c r="W148" s="223" t="e">
        <f t="shared" si="41"/>
        <v>#N/A</v>
      </c>
      <c r="X148" s="223"/>
      <c r="Y148" s="280"/>
    </row>
    <row r="149" spans="13:25" hidden="1">
      <c r="M149" s="287">
        <f t="shared" si="34"/>
        <v>2.6102798988282485</v>
      </c>
      <c r="N149" s="288">
        <f t="shared" si="42"/>
        <v>2.6102798988282485</v>
      </c>
      <c r="O149" s="289">
        <f t="shared" si="35"/>
        <v>4.5557978633177412E-2</v>
      </c>
      <c r="P149" s="219">
        <f t="shared" si="36"/>
        <v>332.85232498470015</v>
      </c>
      <c r="Q149" s="219">
        <f t="shared" si="37"/>
        <v>275.29083450658129</v>
      </c>
      <c r="R149" s="219" t="e">
        <f t="shared" si="43"/>
        <v>#N/A</v>
      </c>
      <c r="S149" s="220" t="e">
        <f t="shared" si="44"/>
        <v>#N/A</v>
      </c>
      <c r="T149" s="221">
        <f t="shared" si="38"/>
        <v>27.147675015299853</v>
      </c>
      <c r="U149" s="222">
        <f t="shared" si="39"/>
        <v>84.709165493418709</v>
      </c>
      <c r="V149" s="223" t="e">
        <f t="shared" si="40"/>
        <v>#N/A</v>
      </c>
      <c r="W149" s="223" t="e">
        <f t="shared" si="41"/>
        <v>#N/A</v>
      </c>
      <c r="X149" s="223"/>
      <c r="Y149" s="280"/>
    </row>
    <row r="150" spans="13:25" hidden="1">
      <c r="M150" s="287">
        <f t="shared" si="34"/>
        <v>2.2269883699606603</v>
      </c>
      <c r="N150" s="288">
        <f t="shared" si="42"/>
        <v>2.2269883699606603</v>
      </c>
      <c r="O150" s="289">
        <f t="shared" si="35"/>
        <v>3.8868279459435107E-2</v>
      </c>
      <c r="P150" s="219">
        <f t="shared" si="36"/>
        <v>332.55658981690925</v>
      </c>
      <c r="Q150" s="219">
        <f t="shared" si="37"/>
        <v>275.58656967437219</v>
      </c>
      <c r="R150" s="219" t="e">
        <f t="shared" si="43"/>
        <v>#N/A</v>
      </c>
      <c r="S150" s="220" t="e">
        <f t="shared" si="44"/>
        <v>#N/A</v>
      </c>
      <c r="T150" s="221">
        <f t="shared" si="38"/>
        <v>27.443410183090748</v>
      </c>
      <c r="U150" s="222">
        <f t="shared" si="39"/>
        <v>84.413430325627814</v>
      </c>
      <c r="V150" s="223" t="e">
        <f t="shared" si="40"/>
        <v>#N/A</v>
      </c>
      <c r="W150" s="223" t="e">
        <f t="shared" si="41"/>
        <v>#N/A</v>
      </c>
      <c r="X150" s="223"/>
      <c r="Y150" s="280"/>
    </row>
    <row r="151" spans="13:25" hidden="1">
      <c r="M151" s="287">
        <f t="shared" si="34"/>
        <v>1.8436968410930721</v>
      </c>
      <c r="N151" s="288">
        <f t="shared" si="42"/>
        <v>1.8436968410930721</v>
      </c>
      <c r="O151" s="289">
        <f t="shared" si="35"/>
        <v>3.2178580285692801E-2</v>
      </c>
      <c r="P151" s="219">
        <f t="shared" si="36"/>
        <v>332.25331401010249</v>
      </c>
      <c r="Q151" s="219">
        <f t="shared" si="37"/>
        <v>275.88984548117895</v>
      </c>
      <c r="R151" s="219" t="e">
        <f t="shared" si="43"/>
        <v>#N/A</v>
      </c>
      <c r="S151" s="220" t="e">
        <f t="shared" si="44"/>
        <v>#N/A</v>
      </c>
      <c r="T151" s="221">
        <f t="shared" si="38"/>
        <v>27.746685989897514</v>
      </c>
      <c r="U151" s="222">
        <f t="shared" si="39"/>
        <v>84.110154518821048</v>
      </c>
      <c r="V151" s="223" t="e">
        <f t="shared" si="40"/>
        <v>#N/A</v>
      </c>
      <c r="W151" s="223" t="e">
        <f t="shared" si="41"/>
        <v>#N/A</v>
      </c>
      <c r="X151" s="223"/>
      <c r="Y151" s="280"/>
    </row>
    <row r="152" spans="13:25" hidden="1">
      <c r="M152" s="287">
        <f t="shared" si="34"/>
        <v>1.4604053122254839</v>
      </c>
      <c r="N152" s="288">
        <f t="shared" si="42"/>
        <v>1.4604053122254839</v>
      </c>
      <c r="O152" s="289">
        <f t="shared" si="35"/>
        <v>2.5488881111950492E-2</v>
      </c>
      <c r="P152" s="219">
        <f t="shared" si="36"/>
        <v>331.94223931161542</v>
      </c>
      <c r="Q152" s="219">
        <f t="shared" si="37"/>
        <v>276.20092017966601</v>
      </c>
      <c r="R152" s="219" t="e">
        <f t="shared" si="43"/>
        <v>#N/A</v>
      </c>
      <c r="S152" s="220" t="e">
        <f t="shared" si="44"/>
        <v>#N/A</v>
      </c>
      <c r="T152" s="221">
        <f t="shared" si="38"/>
        <v>28.057760688384576</v>
      </c>
      <c r="U152" s="222">
        <f t="shared" si="39"/>
        <v>83.799079820333986</v>
      </c>
      <c r="V152" s="223" t="e">
        <f t="shared" si="40"/>
        <v>#N/A</v>
      </c>
      <c r="W152" s="223" t="e">
        <f t="shared" si="41"/>
        <v>#N/A</v>
      </c>
      <c r="X152" s="223"/>
      <c r="Y152" s="280"/>
    </row>
    <row r="153" spans="13:25" hidden="1">
      <c r="M153" s="287">
        <f t="shared" si="34"/>
        <v>1.0771137833578956</v>
      </c>
      <c r="N153" s="288">
        <f t="shared" si="42"/>
        <v>1.0771137833578956</v>
      </c>
      <c r="O153" s="289">
        <f t="shared" si="35"/>
        <v>1.8799181938208183E-2</v>
      </c>
      <c r="P153" s="219">
        <f t="shared" si="36"/>
        <v>331.62308849544957</v>
      </c>
      <c r="Q153" s="219">
        <f t="shared" si="37"/>
        <v>276.52007099583187</v>
      </c>
      <c r="R153" s="219" t="e">
        <f t="shared" si="43"/>
        <v>#N/A</v>
      </c>
      <c r="S153" s="220" t="e">
        <f t="shared" si="44"/>
        <v>#N/A</v>
      </c>
      <c r="T153" s="221">
        <f t="shared" si="38"/>
        <v>28.376911504550435</v>
      </c>
      <c r="U153" s="222">
        <f t="shared" si="39"/>
        <v>83.479929004168127</v>
      </c>
      <c r="V153" s="223" t="e">
        <f t="shared" si="40"/>
        <v>#N/A</v>
      </c>
      <c r="W153" s="223" t="e">
        <f t="shared" si="41"/>
        <v>#N/A</v>
      </c>
      <c r="X153" s="223"/>
      <c r="Y153" s="280"/>
    </row>
    <row r="154" spans="13:25" hidden="1">
      <c r="M154" s="287">
        <f t="shared" si="34"/>
        <v>0.69382225449030743</v>
      </c>
      <c r="N154" s="288">
        <f t="shared" si="42"/>
        <v>0.69382225449030743</v>
      </c>
      <c r="O154" s="289">
        <f t="shared" si="35"/>
        <v>1.2109482764465876E-2</v>
      </c>
      <c r="P154" s="219">
        <f t="shared" si="36"/>
        <v>331.29556346670665</v>
      </c>
      <c r="Q154" s="219">
        <f t="shared" si="37"/>
        <v>276.84759602457478</v>
      </c>
      <c r="R154" s="219" t="e">
        <f t="shared" si="43"/>
        <v>#N/A</v>
      </c>
      <c r="S154" s="220" t="e">
        <f t="shared" si="44"/>
        <v>#N/A</v>
      </c>
      <c r="T154" s="221">
        <f t="shared" si="38"/>
        <v>28.704436533293347</v>
      </c>
      <c r="U154" s="222">
        <f t="shared" si="39"/>
        <v>83.152403975425216</v>
      </c>
      <c r="V154" s="223" t="e">
        <f t="shared" si="40"/>
        <v>#N/A</v>
      </c>
      <c r="W154" s="223" t="e">
        <f t="shared" si="41"/>
        <v>#N/A</v>
      </c>
      <c r="X154" s="223"/>
      <c r="Y154" s="280"/>
    </row>
    <row r="155" spans="13:25" hidden="1">
      <c r="M155" s="287">
        <f t="shared" si="34"/>
        <v>0.31053072562271916</v>
      </c>
      <c r="N155" s="288">
        <f t="shared" si="42"/>
        <v>0.31053072562271916</v>
      </c>
      <c r="O155" s="289">
        <f t="shared" si="35"/>
        <v>5.4197835907235682E-3</v>
      </c>
      <c r="P155" s="219">
        <f t="shared" si="36"/>
        <v>330.9593431072588</v>
      </c>
      <c r="Q155" s="219">
        <f t="shared" si="37"/>
        <v>277.18381638402263</v>
      </c>
      <c r="R155" s="219" t="e">
        <f t="shared" si="43"/>
        <v>#N/A</v>
      </c>
      <c r="S155" s="220" t="e">
        <f t="shared" si="44"/>
        <v>#N/A</v>
      </c>
      <c r="T155" s="221">
        <f t="shared" si="38"/>
        <v>29.040656892741197</v>
      </c>
      <c r="U155" s="222">
        <f t="shared" si="39"/>
        <v>82.816183615977366</v>
      </c>
      <c r="V155" s="223" t="e">
        <f t="shared" si="40"/>
        <v>#N/A</v>
      </c>
      <c r="W155" s="223" t="e">
        <f t="shared" si="41"/>
        <v>#N/A</v>
      </c>
      <c r="X155" s="223"/>
      <c r="Y155" s="280"/>
    </row>
    <row r="156" spans="13:25" hidden="1">
      <c r="M156" s="287">
        <f t="shared" si="34"/>
        <v>-7.276080324486911E-2</v>
      </c>
      <c r="N156" s="288">
        <f t="shared" si="42"/>
        <v>-7.276080324486911E-2</v>
      </c>
      <c r="O156" s="289">
        <f t="shared" si="35"/>
        <v>-1.26991558301874E-3</v>
      </c>
      <c r="P156" s="219">
        <f t="shared" si="36"/>
        <v>330.61408081813846</v>
      </c>
      <c r="Q156" s="219">
        <f t="shared" si="37"/>
        <v>277.52907867314298</v>
      </c>
      <c r="R156" s="219" t="e">
        <f t="shared" si="43"/>
        <v>#N/A</v>
      </c>
      <c r="S156" s="220" t="e">
        <f t="shared" si="44"/>
        <v>#N/A</v>
      </c>
      <c r="T156" s="221">
        <f t="shared" si="38"/>
        <v>29.385919181861539</v>
      </c>
      <c r="U156" s="222">
        <f t="shared" si="39"/>
        <v>82.470921326857024</v>
      </c>
      <c r="V156" s="223" t="e">
        <f t="shared" si="40"/>
        <v>#N/A</v>
      </c>
      <c r="W156" s="223" t="e">
        <f t="shared" si="41"/>
        <v>#N/A</v>
      </c>
      <c r="X156" s="223"/>
      <c r="Y156" s="280"/>
    </row>
    <row r="157" spans="13:25" hidden="1">
      <c r="M157" s="287">
        <f t="shared" si="34"/>
        <v>-0.45605233211245738</v>
      </c>
      <c r="N157" s="288">
        <f t="shared" si="42"/>
        <v>-0.45605233211245738</v>
      </c>
      <c r="O157" s="289">
        <f t="shared" si="35"/>
        <v>-7.9596147567610482E-3</v>
      </c>
      <c r="P157" s="219">
        <f t="shared" si="36"/>
        <v>330.25940170475002</v>
      </c>
      <c r="Q157" s="219">
        <f t="shared" si="37"/>
        <v>277.88375778653142</v>
      </c>
      <c r="R157" s="219" t="e">
        <f t="shared" si="43"/>
        <v>#N/A</v>
      </c>
      <c r="S157" s="220" t="e">
        <f t="shared" si="44"/>
        <v>#N/A</v>
      </c>
      <c r="T157" s="221">
        <f t="shared" si="38"/>
        <v>29.740598295249981</v>
      </c>
      <c r="U157" s="222">
        <f t="shared" si="39"/>
        <v>82.116242213468581</v>
      </c>
      <c r="V157" s="223" t="e">
        <f t="shared" si="40"/>
        <v>#N/A</v>
      </c>
      <c r="W157" s="223" t="e">
        <f t="shared" si="41"/>
        <v>#N/A</v>
      </c>
      <c r="X157" s="223"/>
      <c r="Y157" s="280"/>
    </row>
    <row r="158" spans="13:25" hidden="1">
      <c r="M158" s="287">
        <f t="shared" si="34"/>
        <v>-0.83934386098004565</v>
      </c>
      <c r="N158" s="288">
        <f t="shared" si="42"/>
        <v>-0.83934386098004565</v>
      </c>
      <c r="O158" s="289">
        <f t="shared" si="35"/>
        <v>-1.4649313930503356E-2</v>
      </c>
      <c r="P158" s="219">
        <f t="shared" si="36"/>
        <v>329.89489933926689</v>
      </c>
      <c r="Q158" s="219">
        <f t="shared" si="37"/>
        <v>278.24826015201455</v>
      </c>
      <c r="R158" s="219" t="e">
        <f t="shared" si="43"/>
        <v>#N/A</v>
      </c>
      <c r="S158" s="220" t="e">
        <f t="shared" si="44"/>
        <v>#N/A</v>
      </c>
      <c r="T158" s="221">
        <f t="shared" si="38"/>
        <v>30.105100660733115</v>
      </c>
      <c r="U158" s="222">
        <f t="shared" si="39"/>
        <v>81.751739847985448</v>
      </c>
      <c r="V158" s="223" t="e">
        <f t="shared" si="40"/>
        <v>#N/A</v>
      </c>
      <c r="W158" s="223" t="e">
        <f t="shared" si="41"/>
        <v>#N/A</v>
      </c>
      <c r="X158" s="223"/>
      <c r="Y158" s="280"/>
    </row>
    <row r="159" spans="13:25" hidden="1">
      <c r="M159" s="287">
        <f t="shared" si="34"/>
        <v>-1.2226353898476339</v>
      </c>
      <c r="N159" s="288">
        <f t="shared" si="42"/>
        <v>-1.2226353898476339</v>
      </c>
      <c r="O159" s="289">
        <f t="shared" si="35"/>
        <v>-2.1339013104245665E-2</v>
      </c>
      <c r="P159" s="219">
        <f t="shared" si="36"/>
        <v>329.52013201978139</v>
      </c>
      <c r="Q159" s="219">
        <f t="shared" si="37"/>
        <v>278.62302747150005</v>
      </c>
      <c r="R159" s="219" t="e">
        <f t="shared" si="43"/>
        <v>#N/A</v>
      </c>
      <c r="S159" s="220" t="e">
        <f t="shared" si="44"/>
        <v>#N/A</v>
      </c>
      <c r="T159" s="221">
        <f t="shared" si="38"/>
        <v>30.479867980218614</v>
      </c>
      <c r="U159" s="222">
        <f t="shared" si="39"/>
        <v>81.376972528499948</v>
      </c>
      <c r="V159" s="223" t="e">
        <f t="shared" si="40"/>
        <v>#N/A</v>
      </c>
      <c r="W159" s="223" t="e">
        <f t="shared" si="41"/>
        <v>#N/A</v>
      </c>
      <c r="X159" s="223"/>
      <c r="Y159" s="280"/>
    </row>
    <row r="160" spans="13:25" hidden="1">
      <c r="M160" s="287">
        <f t="shared" si="34"/>
        <v>-1.6059269187152221</v>
      </c>
      <c r="N160" s="288">
        <f t="shared" si="42"/>
        <v>-1.6059269187152221</v>
      </c>
      <c r="O160" s="289">
        <f t="shared" si="35"/>
        <v>-2.802871227798797E-2</v>
      </c>
      <c r="P160" s="219">
        <f t="shared" si="36"/>
        <v>329.13461842698712</v>
      </c>
      <c r="Q160" s="219">
        <f t="shared" si="37"/>
        <v>279.00854106429432</v>
      </c>
      <c r="R160" s="219" t="e">
        <f t="shared" si="43"/>
        <v>#N/A</v>
      </c>
      <c r="S160" s="220" t="e">
        <f t="shared" si="44"/>
        <v>#N/A</v>
      </c>
      <c r="T160" s="221">
        <f t="shared" si="38"/>
        <v>30.865381573012883</v>
      </c>
      <c r="U160" s="222">
        <f t="shared" si="39"/>
        <v>80.99145893570568</v>
      </c>
      <c r="V160" s="223" t="e">
        <f t="shared" si="40"/>
        <v>#N/A</v>
      </c>
      <c r="W160" s="223" t="e">
        <f t="shared" si="41"/>
        <v>#N/A</v>
      </c>
      <c r="X160" s="223"/>
      <c r="Y160" s="280"/>
    </row>
    <row r="161" spans="13:25" hidden="1">
      <c r="M161" s="287">
        <f t="shared" si="34"/>
        <v>-1.9892184475828103</v>
      </c>
      <c r="N161" s="288">
        <f t="shared" si="42"/>
        <v>-1.9892184475828103</v>
      </c>
      <c r="O161" s="289">
        <f t="shared" si="35"/>
        <v>-3.4718411451730276E-2</v>
      </c>
      <c r="P161" s="219">
        <f t="shared" si="36"/>
        <v>328.73783255512313</v>
      </c>
      <c r="Q161" s="219">
        <f t="shared" si="37"/>
        <v>279.40532693615825</v>
      </c>
      <c r="R161" s="219" t="e">
        <f t="shared" si="43"/>
        <v>#N/A</v>
      </c>
      <c r="S161" s="220" t="e">
        <f t="shared" si="44"/>
        <v>#N/A</v>
      </c>
      <c r="T161" s="221">
        <f t="shared" si="38"/>
        <v>31.262167444876866</v>
      </c>
      <c r="U161" s="222">
        <f t="shared" si="39"/>
        <v>80.594673063841753</v>
      </c>
      <c r="V161" s="223" t="e">
        <f t="shared" si="40"/>
        <v>#N/A</v>
      </c>
      <c r="W161" s="223" t="e">
        <f t="shared" si="41"/>
        <v>#N/A</v>
      </c>
      <c r="X161" s="223"/>
      <c r="Y161" s="280"/>
    </row>
    <row r="162" spans="13:25" hidden="1">
      <c r="M162" s="287">
        <f t="shared" si="34"/>
        <v>-2.3725099764503987</v>
      </c>
      <c r="N162" s="288">
        <f t="shared" si="42"/>
        <v>-2.3725099764503987</v>
      </c>
      <c r="O162" s="289">
        <f t="shared" si="35"/>
        <v>-4.1408110625472588E-2</v>
      </c>
      <c r="P162" s="219">
        <f t="shared" si="36"/>
        <v>328.32919776286826</v>
      </c>
      <c r="Q162" s="219">
        <f t="shared" si="37"/>
        <v>279.81396172841318</v>
      </c>
      <c r="R162" s="219" t="e">
        <f t="shared" si="43"/>
        <v>#N/A</v>
      </c>
      <c r="S162" s="220" t="e">
        <f t="shared" si="44"/>
        <v>#N/A</v>
      </c>
      <c r="T162" s="221">
        <f t="shared" si="38"/>
        <v>31.670802237131738</v>
      </c>
      <c r="U162" s="222">
        <f t="shared" si="39"/>
        <v>80.186038271586824</v>
      </c>
      <c r="V162" s="223" t="e">
        <f t="shared" si="40"/>
        <v>#N/A</v>
      </c>
      <c r="W162" s="223" t="e">
        <f t="shared" si="41"/>
        <v>#N/A</v>
      </c>
      <c r="X162" s="223"/>
      <c r="Y162" s="280"/>
    </row>
    <row r="163" spans="13:25" hidden="1">
      <c r="M163" s="287">
        <f t="shared" si="34"/>
        <v>-2.755801505317987</v>
      </c>
      <c r="N163" s="288">
        <f t="shared" si="42"/>
        <v>-2.755801505317987</v>
      </c>
      <c r="O163" s="289">
        <f t="shared" si="35"/>
        <v>-4.8097809799214894E-2</v>
      </c>
      <c r="P163" s="219">
        <f t="shared" si="36"/>
        <v>327.9080797494268</v>
      </c>
      <c r="Q163" s="219">
        <f t="shared" si="37"/>
        <v>280.23507974185463</v>
      </c>
      <c r="R163" s="219" t="e">
        <f t="shared" si="43"/>
        <v>#N/A</v>
      </c>
      <c r="S163" s="220" t="e">
        <f t="shared" si="44"/>
        <v>#N/A</v>
      </c>
      <c r="T163" s="221">
        <f t="shared" si="38"/>
        <v>32.091920250573196</v>
      </c>
      <c r="U163" s="222">
        <f t="shared" si="39"/>
        <v>79.764920258145366</v>
      </c>
      <c r="V163" s="223" t="e">
        <f t="shared" si="40"/>
        <v>#N/A</v>
      </c>
      <c r="W163" s="223" t="e">
        <f t="shared" si="41"/>
        <v>#N/A</v>
      </c>
      <c r="X163" s="223"/>
      <c r="Y163" s="280"/>
    </row>
    <row r="164" spans="13:25" hidden="1">
      <c r="M164" s="287">
        <f t="shared" si="34"/>
        <v>-3.1390930341855752</v>
      </c>
      <c r="N164" s="288">
        <f t="shared" si="42"/>
        <v>-3.1390930341855752</v>
      </c>
      <c r="O164" s="289">
        <f t="shared" si="35"/>
        <v>-5.47875089729572E-2</v>
      </c>
      <c r="P164" s="219">
        <f t="shared" si="36"/>
        <v>327.47377820784806</v>
      </c>
      <c r="Q164" s="219">
        <f t="shared" si="37"/>
        <v>280.66938128343338</v>
      </c>
      <c r="R164" s="219" t="e">
        <f t="shared" si="43"/>
        <v>#N/A</v>
      </c>
      <c r="S164" s="220" t="e">
        <f t="shared" si="44"/>
        <v>#N/A</v>
      </c>
      <c r="T164" s="221">
        <f t="shared" si="38"/>
        <v>32.526221792151944</v>
      </c>
      <c r="U164" s="222">
        <f t="shared" si="39"/>
        <v>79.330618716566619</v>
      </c>
      <c r="V164" s="223" t="e">
        <f t="shared" si="40"/>
        <v>#N/A</v>
      </c>
      <c r="W164" s="223" t="e">
        <f t="shared" si="41"/>
        <v>#N/A</v>
      </c>
      <c r="X164" s="223"/>
      <c r="Y164" s="280"/>
    </row>
    <row r="165" spans="13:25" hidden="1">
      <c r="M165" s="287">
        <f t="shared" si="34"/>
        <v>-3.5223845630531634</v>
      </c>
      <c r="N165" s="288">
        <f t="shared" si="42"/>
        <v>-3.5223845630531634</v>
      </c>
      <c r="O165" s="289">
        <f t="shared" si="35"/>
        <v>-6.1477208146699512E-2</v>
      </c>
      <c r="P165" s="219">
        <f t="shared" si="36"/>
        <v>327.02551683688444</v>
      </c>
      <c r="Q165" s="219">
        <f t="shared" si="37"/>
        <v>281.117642654397</v>
      </c>
      <c r="R165" s="219" t="e">
        <f t="shared" si="43"/>
        <v>#N/A</v>
      </c>
      <c r="S165" s="220" t="e">
        <f t="shared" si="44"/>
        <v>#N/A</v>
      </c>
      <c r="T165" s="221">
        <f t="shared" si="38"/>
        <v>32.974483163115565</v>
      </c>
      <c r="U165" s="222">
        <f t="shared" si="39"/>
        <v>78.882357345602998</v>
      </c>
      <c r="V165" s="223" t="e">
        <f t="shared" si="40"/>
        <v>#N/A</v>
      </c>
      <c r="W165" s="223" t="e">
        <f t="shared" si="41"/>
        <v>#N/A</v>
      </c>
      <c r="X165" s="223"/>
      <c r="Y165" s="280"/>
    </row>
    <row r="166" spans="13:25" hidden="1">
      <c r="M166" s="287">
        <f t="shared" si="34"/>
        <v>-3.9056760919207516</v>
      </c>
      <c r="N166" s="288">
        <f t="shared" si="42"/>
        <v>-3.9056760919207516</v>
      </c>
      <c r="O166" s="289">
        <f t="shared" si="35"/>
        <v>-6.8166907320441811E-2</v>
      </c>
      <c r="P166" s="219">
        <f t="shared" si="36"/>
        <v>326.5624312975749</v>
      </c>
      <c r="Q166" s="219">
        <f t="shared" si="37"/>
        <v>281.58072819370653</v>
      </c>
      <c r="R166" s="219" t="e">
        <f t="shared" si="43"/>
        <v>#N/A</v>
      </c>
      <c r="S166" s="220" t="e">
        <f t="shared" si="44"/>
        <v>#N/A</v>
      </c>
      <c r="T166" s="221">
        <f t="shared" si="38"/>
        <v>33.437568702425096</v>
      </c>
      <c r="U166" s="222">
        <f t="shared" si="39"/>
        <v>78.419271806293466</v>
      </c>
      <c r="V166" s="223" t="e">
        <f t="shared" si="40"/>
        <v>#N/A</v>
      </c>
      <c r="W166" s="223" t="e">
        <f t="shared" si="41"/>
        <v>#N/A</v>
      </c>
      <c r="X166" s="223"/>
      <c r="Y166" s="280"/>
    </row>
    <row r="167" spans="13:25" hidden="1">
      <c r="M167" s="287">
        <f t="shared" si="34"/>
        <v>-4.2889676207883403</v>
      </c>
      <c r="N167" s="288">
        <f t="shared" si="42"/>
        <v>-4.2889676207883403</v>
      </c>
      <c r="O167" s="289">
        <f t="shared" si="35"/>
        <v>-7.485660649418413E-2</v>
      </c>
      <c r="P167" s="219">
        <f t="shared" si="36"/>
        <v>326.08355457124026</v>
      </c>
      <c r="Q167" s="219">
        <f t="shared" si="37"/>
        <v>282.05960492004118</v>
      </c>
      <c r="R167" s="219" t="e">
        <f t="shared" si="43"/>
        <v>#N/A</v>
      </c>
      <c r="S167" s="220" t="e">
        <f t="shared" si="44"/>
        <v>#N/A</v>
      </c>
      <c r="T167" s="221">
        <f t="shared" si="38"/>
        <v>33.916445428759744</v>
      </c>
      <c r="U167" s="222">
        <f t="shared" si="39"/>
        <v>77.940395079958819</v>
      </c>
      <c r="V167" s="223" t="e">
        <f t="shared" si="40"/>
        <v>#N/A</v>
      </c>
      <c r="W167" s="223" t="e">
        <f t="shared" si="41"/>
        <v>#N/A</v>
      </c>
      <c r="X167" s="223"/>
      <c r="Y167" s="280"/>
    </row>
    <row r="168" spans="13:25" hidden="1">
      <c r="M168" s="287">
        <f t="shared" si="34"/>
        <v>-4.6722591496559289</v>
      </c>
      <c r="N168" s="288">
        <f t="shared" si="42"/>
        <v>-4.6722591496559289</v>
      </c>
      <c r="O168" s="289">
        <f t="shared" si="35"/>
        <v>-8.154630566792645E-2</v>
      </c>
      <c r="P168" s="219">
        <f t="shared" si="36"/>
        <v>325.5877989968792</v>
      </c>
      <c r="Q168" s="219">
        <f t="shared" si="37"/>
        <v>282.55536049440224</v>
      </c>
      <c r="R168" s="219" t="e">
        <f t="shared" ref="R168:R193" si="45">IFERROR(DEGREES(grt_+ACOS((SIN(h_)-SIN(d_)*SIN(O168))/COS(d_)/COS(O168))),#N/A)</f>
        <v>#N/A</v>
      </c>
      <c r="S168" s="220" t="e">
        <f t="shared" ref="S168:S193" si="46">IFERROR(DEGREES(grt_-ACOS((SIN(h_)-SIN(d_)*SIN(O168))/COS(d_)/COS(O168))),#N/A)</f>
        <v>#N/A</v>
      </c>
      <c r="T168" s="221">
        <f t="shared" si="38"/>
        <v>34.412201003120799</v>
      </c>
      <c r="U168" s="222">
        <f t="shared" si="39"/>
        <v>77.444639505597763</v>
      </c>
      <c r="V168" s="223" t="e">
        <f t="shared" si="40"/>
        <v>#N/A</v>
      </c>
      <c r="W168" s="223" t="e">
        <f t="shared" si="41"/>
        <v>#N/A</v>
      </c>
      <c r="X168" s="223"/>
      <c r="Y168" s="280"/>
    </row>
    <row r="169" spans="13:25" hidden="1">
      <c r="M169" s="287">
        <f t="shared" si="34"/>
        <v>-5.0555506785235176</v>
      </c>
      <c r="N169" s="288">
        <f t="shared" si="42"/>
        <v>-5.0555506785235176</v>
      </c>
      <c r="O169" s="289">
        <f t="shared" si="35"/>
        <v>-8.8236004841668755E-2</v>
      </c>
      <c r="P169" s="219">
        <f t="shared" si="36"/>
        <v>325.07393401572784</v>
      </c>
      <c r="Q169" s="219">
        <f t="shared" si="37"/>
        <v>283.06922547555359</v>
      </c>
      <c r="R169" s="219" t="e">
        <f t="shared" si="45"/>
        <v>#N/A</v>
      </c>
      <c r="S169" s="220" t="e">
        <f t="shared" si="46"/>
        <v>#N/A</v>
      </c>
      <c r="T169" s="221">
        <f t="shared" si="38"/>
        <v>34.926065984272157</v>
      </c>
      <c r="U169" s="222">
        <f t="shared" si="39"/>
        <v>76.930774524446406</v>
      </c>
      <c r="V169" s="223" t="e">
        <f t="shared" si="40"/>
        <v>#N/A</v>
      </c>
      <c r="W169" s="223" t="e">
        <f t="shared" si="41"/>
        <v>#N/A</v>
      </c>
      <c r="X169" s="223"/>
      <c r="Y169" s="280"/>
    </row>
    <row r="170" spans="13:25" hidden="1">
      <c r="M170" s="287">
        <f t="shared" si="34"/>
        <v>-5.4388422073911062</v>
      </c>
      <c r="N170" s="288">
        <f t="shared" si="42"/>
        <v>-5.4388422073911062</v>
      </c>
      <c r="O170" s="289">
        <f t="shared" si="35"/>
        <v>-9.4925704015411075E-2</v>
      </c>
      <c r="P170" s="219">
        <f t="shared" si="36"/>
        <v>324.54055829467501</v>
      </c>
      <c r="Q170" s="219">
        <f t="shared" si="37"/>
        <v>283.60260119660643</v>
      </c>
      <c r="R170" s="219" t="e">
        <f t="shared" si="45"/>
        <v>#N/A</v>
      </c>
      <c r="S170" s="220" t="e">
        <f t="shared" si="46"/>
        <v>#N/A</v>
      </c>
      <c r="T170" s="221">
        <f t="shared" si="38"/>
        <v>35.459441705324991</v>
      </c>
      <c r="U170" s="222">
        <f t="shared" si="39"/>
        <v>76.397398803393571</v>
      </c>
      <c r="V170" s="223" t="e">
        <f t="shared" si="40"/>
        <v>#N/A</v>
      </c>
      <c r="W170" s="223" t="e">
        <f t="shared" si="41"/>
        <v>#N/A</v>
      </c>
      <c r="X170" s="223"/>
      <c r="Y170" s="280"/>
    </row>
    <row r="171" spans="13:25" hidden="1">
      <c r="M171" s="287">
        <f t="shared" si="34"/>
        <v>-5.8221337362586949</v>
      </c>
      <c r="N171" s="288">
        <f t="shared" si="42"/>
        <v>-5.8221337362586949</v>
      </c>
      <c r="O171" s="289">
        <f t="shared" si="35"/>
        <v>-0.10161540318915339</v>
      </c>
      <c r="P171" s="219">
        <f t="shared" si="36"/>
        <v>323.98606438446762</v>
      </c>
      <c r="Q171" s="219">
        <f t="shared" si="37"/>
        <v>284.15709510681381</v>
      </c>
      <c r="R171" s="219" t="e">
        <f t="shared" si="45"/>
        <v>#N/A</v>
      </c>
      <c r="S171" s="220" t="e">
        <f t="shared" si="46"/>
        <v>#N/A</v>
      </c>
      <c r="T171" s="221">
        <f t="shared" si="38"/>
        <v>36.013935615532375</v>
      </c>
      <c r="U171" s="222">
        <f t="shared" si="39"/>
        <v>75.842904893186187</v>
      </c>
      <c r="V171" s="223" t="e">
        <f t="shared" si="40"/>
        <v>#N/A</v>
      </c>
      <c r="W171" s="223" t="e">
        <f t="shared" si="41"/>
        <v>#N/A</v>
      </c>
      <c r="X171" s="223"/>
      <c r="Y171" s="280"/>
    </row>
    <row r="172" spans="13:25" hidden="1">
      <c r="M172" s="287">
        <f t="shared" si="34"/>
        <v>-6.2054252651262836</v>
      </c>
      <c r="N172" s="288">
        <f t="shared" si="42"/>
        <v>-6.2054252651262836</v>
      </c>
      <c r="O172" s="289">
        <f t="shared" si="35"/>
        <v>-0.1083051023628957</v>
      </c>
      <c r="P172" s="219">
        <f t="shared" si="36"/>
        <v>323.40859330678393</v>
      </c>
      <c r="Q172" s="219">
        <f t="shared" si="37"/>
        <v>284.73456618449751</v>
      </c>
      <c r="R172" s="219" t="e">
        <f t="shared" si="45"/>
        <v>#N/A</v>
      </c>
      <c r="S172" s="220" t="e">
        <f t="shared" si="46"/>
        <v>#N/A</v>
      </c>
      <c r="T172" s="221">
        <f t="shared" si="38"/>
        <v>36.591406693216072</v>
      </c>
      <c r="U172" s="222">
        <f t="shared" si="39"/>
        <v>75.26543381550249</v>
      </c>
      <c r="V172" s="223" t="e">
        <f t="shared" si="40"/>
        <v>#N/A</v>
      </c>
      <c r="W172" s="223" t="e">
        <f t="shared" si="41"/>
        <v>#N/A</v>
      </c>
      <c r="X172" s="223"/>
      <c r="Y172" s="280"/>
    </row>
    <row r="173" spans="13:25" hidden="1">
      <c r="M173" s="287">
        <f t="shared" si="34"/>
        <v>-6.5887167939938722</v>
      </c>
      <c r="N173" s="288">
        <f t="shared" si="42"/>
        <v>-6.5887167939938722</v>
      </c>
      <c r="O173" s="289">
        <f t="shared" si="35"/>
        <v>-0.11499480153663802</v>
      </c>
      <c r="P173" s="219">
        <f t="shared" si="36"/>
        <v>322.80597531398587</v>
      </c>
      <c r="Q173" s="219">
        <f t="shared" si="37"/>
        <v>285.33718417729557</v>
      </c>
      <c r="R173" s="219" t="e">
        <f t="shared" si="45"/>
        <v>#N/A</v>
      </c>
      <c r="S173" s="220" t="e">
        <f t="shared" si="46"/>
        <v>#N/A</v>
      </c>
      <c r="T173" s="221">
        <f t="shared" si="38"/>
        <v>37.194024686014131</v>
      </c>
      <c r="U173" s="222">
        <f t="shared" si="39"/>
        <v>74.662815822704431</v>
      </c>
      <c r="V173" s="223" t="e">
        <f t="shared" si="40"/>
        <v>#N/A</v>
      </c>
      <c r="W173" s="223" t="e">
        <f t="shared" si="41"/>
        <v>#N/A</v>
      </c>
      <c r="X173" s="223"/>
      <c r="Y173" s="280"/>
    </row>
    <row r="174" spans="13:25" hidden="1">
      <c r="M174" s="287">
        <f t="shared" si="34"/>
        <v>-6.9720083228614609</v>
      </c>
      <c r="N174" s="288">
        <f t="shared" si="42"/>
        <v>-6.9720083228614609</v>
      </c>
      <c r="O174" s="289">
        <f t="shared" si="35"/>
        <v>-0.12168450071038034</v>
      </c>
      <c r="P174" s="219">
        <f t="shared" si="36"/>
        <v>322.17565128559215</v>
      </c>
      <c r="Q174" s="219">
        <f t="shared" si="37"/>
        <v>285.96750820568928</v>
      </c>
      <c r="R174" s="219" t="e">
        <f t="shared" si="45"/>
        <v>#N/A</v>
      </c>
      <c r="S174" s="220" t="e">
        <f t="shared" si="46"/>
        <v>#N/A</v>
      </c>
      <c r="T174" s="221">
        <f t="shared" si="38"/>
        <v>37.824348714407847</v>
      </c>
      <c r="U174" s="222">
        <f t="shared" si="39"/>
        <v>74.032491794310715</v>
      </c>
      <c r="V174" s="223" t="e">
        <f t="shared" si="40"/>
        <v>#N/A</v>
      </c>
      <c r="W174" s="223" t="e">
        <f t="shared" si="41"/>
        <v>#N/A</v>
      </c>
      <c r="X174" s="223"/>
      <c r="Y174" s="280"/>
    </row>
    <row r="175" spans="13:25" hidden="1">
      <c r="M175" s="287">
        <f t="shared" si="34"/>
        <v>-7.3552998517290495</v>
      </c>
      <c r="N175" s="288">
        <f t="shared" si="42"/>
        <v>-7.3552998517290495</v>
      </c>
      <c r="O175" s="289">
        <f t="shared" si="35"/>
        <v>-0.12837419988412266</v>
      </c>
      <c r="P175" s="219">
        <f t="shared" si="36"/>
        <v>321.51456639449947</v>
      </c>
      <c r="Q175" s="219">
        <f t="shared" si="37"/>
        <v>286.62859309678197</v>
      </c>
      <c r="R175" s="219" t="e">
        <f t="shared" si="45"/>
        <v>#N/A</v>
      </c>
      <c r="S175" s="220" t="e">
        <f t="shared" si="46"/>
        <v>#N/A</v>
      </c>
      <c r="T175" s="221">
        <f t="shared" si="38"/>
        <v>38.485433605500532</v>
      </c>
      <c r="U175" s="222">
        <f t="shared" si="39"/>
        <v>73.37140690321803</v>
      </c>
      <c r="V175" s="223" t="e">
        <f t="shared" si="40"/>
        <v>#N/A</v>
      </c>
      <c r="W175" s="223" t="e">
        <f t="shared" si="41"/>
        <v>#N/A</v>
      </c>
      <c r="X175" s="223"/>
      <c r="Y175" s="280"/>
    </row>
    <row r="176" spans="13:25" hidden="1">
      <c r="M176" s="287">
        <f t="shared" si="34"/>
        <v>-7.7385913805966382</v>
      </c>
      <c r="N176" s="288">
        <f t="shared" si="42"/>
        <v>-7.7385913805966382</v>
      </c>
      <c r="O176" s="289">
        <f t="shared" si="35"/>
        <v>-0.13506389905786498</v>
      </c>
      <c r="P176" s="219">
        <f t="shared" si="36"/>
        <v>320.81902302868502</v>
      </c>
      <c r="Q176" s="219">
        <f t="shared" si="37"/>
        <v>287.32413646259641</v>
      </c>
      <c r="R176" s="219" t="e">
        <f t="shared" si="45"/>
        <v>#N/A</v>
      </c>
      <c r="S176" s="220" t="e">
        <f t="shared" si="46"/>
        <v>#N/A</v>
      </c>
      <c r="T176" s="221">
        <f t="shared" si="38"/>
        <v>39.180976971314976</v>
      </c>
      <c r="U176" s="222">
        <f t="shared" si="39"/>
        <v>72.675863537403586</v>
      </c>
      <c r="V176" s="223" t="e">
        <f t="shared" si="40"/>
        <v>#N/A</v>
      </c>
      <c r="W176" s="223" t="e">
        <f t="shared" si="41"/>
        <v>#N/A</v>
      </c>
      <c r="X176" s="223"/>
      <c r="Y176" s="280"/>
    </row>
    <row r="177" spans="12:25" hidden="1">
      <c r="M177" s="287">
        <f t="shared" ref="M177:M193" si="47">IF(N177&gt;maxn,maxn,IF(N177&lt;mins,mins,N177))</f>
        <v>-8.121882909464226</v>
      </c>
      <c r="N177" s="288">
        <f t="shared" si="42"/>
        <v>-8.121882909464226</v>
      </c>
      <c r="O177" s="289">
        <f t="shared" ref="O177:O193" si="48">RADIANS(M177)</f>
        <v>-0.14175359823160727</v>
      </c>
      <c r="P177" s="219">
        <f t="shared" ref="P177:P193" si="49">IFERROR(DEGREES(grt+ACOS((SIN(h)-SIN(d)*SIN(O177))/COS(d)/COS(O177))),#N/A)</f>
        <v>320.08447204404087</v>
      </c>
      <c r="Q177" s="219">
        <f t="shared" ref="Q177:Q193" si="50">IFERROR(DEGREES(grt-ACOS((SIN(h)-SIN(d)*SIN(O177))/COS(d)/COS(O177))),#N/A)</f>
        <v>288.05868744724057</v>
      </c>
      <c r="R177" s="219" t="e">
        <f t="shared" si="45"/>
        <v>#N/A</v>
      </c>
      <c r="S177" s="220" t="e">
        <f t="shared" si="46"/>
        <v>#N/A</v>
      </c>
      <c r="T177" s="221">
        <f t="shared" ref="T177:T193" si="51">IF(P177&lt;0,ABS(P177),IF(P177&gt;360,-(P177-360),IF(AND(P177&gt;180,P177&lt;360),ABS(360-P177),-P177)))</f>
        <v>39.915527955959135</v>
      </c>
      <c r="U177" s="222">
        <f t="shared" ref="U177:U193" si="52">IF(Q177&lt;0,ABS(Q177),IF(Q177&gt;360,Q177-(Q177-360),IF(AND(Q177&gt;180,Q177&lt;360),ABS(360-Q177),-Q177)))</f>
        <v>71.941312552759427</v>
      </c>
      <c r="V177" s="223" t="e">
        <f t="shared" ref="V177:V193" si="53">IF(R177&lt;0,ABS(R177),IF(R177&gt;360,-(R177-360),IF(AND(R177&gt;180,R177&lt;360),ABS(360-R177),-R177)))</f>
        <v>#N/A</v>
      </c>
      <c r="W177" s="223" t="e">
        <f t="shared" ref="W177:W193" si="54">IF(S177&lt;0,ABS(S177),IF(S177&gt;360,-(S177-360),IF(AND(S177&gt;180,S177&lt;360),ABS(360-S177),-S177)))</f>
        <v>#N/A</v>
      </c>
      <c r="X177" s="223"/>
      <c r="Y177" s="280"/>
    </row>
    <row r="178" spans="12:25" hidden="1">
      <c r="M178" s="287">
        <f t="shared" si="47"/>
        <v>-8.5051744383318137</v>
      </c>
      <c r="N178" s="288">
        <f t="shared" si="42"/>
        <v>-8.5051744383318137</v>
      </c>
      <c r="O178" s="289">
        <f t="shared" si="48"/>
        <v>-0.14844329740534956</v>
      </c>
      <c r="P178" s="219">
        <f t="shared" si="49"/>
        <v>319.30520738142002</v>
      </c>
      <c r="Q178" s="219">
        <f t="shared" si="50"/>
        <v>288.83795210986142</v>
      </c>
      <c r="R178" s="219" t="e">
        <f t="shared" si="45"/>
        <v>#N/A</v>
      </c>
      <c r="S178" s="220" t="e">
        <f t="shared" si="46"/>
        <v>#N/A</v>
      </c>
      <c r="T178" s="221">
        <f t="shared" si="51"/>
        <v>40.694792618579982</v>
      </c>
      <c r="U178" s="222">
        <f t="shared" si="52"/>
        <v>71.162047890138581</v>
      </c>
      <c r="V178" s="223" t="e">
        <f t="shared" si="53"/>
        <v>#N/A</v>
      </c>
      <c r="W178" s="223" t="e">
        <f t="shared" si="54"/>
        <v>#N/A</v>
      </c>
      <c r="X178" s="223"/>
      <c r="Y178" s="280"/>
    </row>
    <row r="179" spans="12:25" hidden="1">
      <c r="M179" s="287">
        <f t="shared" si="47"/>
        <v>-8.8884659671994015</v>
      </c>
      <c r="N179" s="288">
        <f t="shared" si="42"/>
        <v>-8.8884659671994015</v>
      </c>
      <c r="O179" s="289">
        <f t="shared" si="48"/>
        <v>-0.15513299657909185</v>
      </c>
      <c r="P179" s="219">
        <f t="shared" si="49"/>
        <v>318.4739028834494</v>
      </c>
      <c r="Q179" s="219">
        <f t="shared" si="50"/>
        <v>289.66925660783204</v>
      </c>
      <c r="R179" s="219" t="e">
        <f t="shared" si="45"/>
        <v>#N/A</v>
      </c>
      <c r="S179" s="220" t="e">
        <f t="shared" si="46"/>
        <v>#N/A</v>
      </c>
      <c r="T179" s="221">
        <f t="shared" si="51"/>
        <v>41.526097116550602</v>
      </c>
      <c r="U179" s="222">
        <f t="shared" si="52"/>
        <v>70.33074339216796</v>
      </c>
      <c r="V179" s="223" t="e">
        <f t="shared" si="53"/>
        <v>#N/A</v>
      </c>
      <c r="W179" s="223" t="e">
        <f t="shared" si="54"/>
        <v>#N/A</v>
      </c>
      <c r="X179" s="223"/>
      <c r="Y179" s="280"/>
    </row>
    <row r="180" spans="12:25" hidden="1">
      <c r="M180" s="287">
        <f t="shared" si="47"/>
        <v>-9.2717574960669893</v>
      </c>
      <c r="N180" s="288">
        <f t="shared" si="42"/>
        <v>-9.2717574960669893</v>
      </c>
      <c r="O180" s="289">
        <f t="shared" si="48"/>
        <v>-0.16182269575283417</v>
      </c>
      <c r="P180" s="219">
        <f t="shared" si="49"/>
        <v>317.58087827941006</v>
      </c>
      <c r="Q180" s="219">
        <f t="shared" si="50"/>
        <v>290.56228121187138</v>
      </c>
      <c r="R180" s="219" t="e">
        <f t="shared" si="45"/>
        <v>#N/A</v>
      </c>
      <c r="S180" s="220" t="e">
        <f t="shared" si="46"/>
        <v>#N/A</v>
      </c>
      <c r="T180" s="221">
        <f t="shared" si="51"/>
        <v>42.419121720589942</v>
      </c>
      <c r="U180" s="222">
        <f t="shared" si="52"/>
        <v>69.43771878812862</v>
      </c>
      <c r="V180" s="223" t="e">
        <f t="shared" si="53"/>
        <v>#N/A</v>
      </c>
      <c r="W180" s="223" t="e">
        <f t="shared" si="54"/>
        <v>#N/A</v>
      </c>
      <c r="X180" s="223"/>
      <c r="Y180" s="280"/>
    </row>
    <row r="181" spans="12:25" hidden="1">
      <c r="M181" s="287">
        <f t="shared" si="47"/>
        <v>-9.6550490249345771</v>
      </c>
      <c r="N181" s="288">
        <f t="shared" si="42"/>
        <v>-9.6550490249345771</v>
      </c>
      <c r="O181" s="289">
        <f t="shared" si="48"/>
        <v>-0.16851239492657646</v>
      </c>
      <c r="P181" s="219">
        <f t="shared" si="49"/>
        <v>316.61287087214606</v>
      </c>
      <c r="Q181" s="219">
        <f t="shared" si="50"/>
        <v>291.53028861913538</v>
      </c>
      <c r="R181" s="219" t="e">
        <f t="shared" si="45"/>
        <v>#N/A</v>
      </c>
      <c r="S181" s="220" t="e">
        <f t="shared" si="46"/>
        <v>#N/A</v>
      </c>
      <c r="T181" s="221">
        <f t="shared" si="51"/>
        <v>43.387129127853939</v>
      </c>
      <c r="U181" s="222">
        <f t="shared" si="52"/>
        <v>68.469711380864624</v>
      </c>
      <c r="V181" s="223" t="e">
        <f t="shared" si="53"/>
        <v>#N/A</v>
      </c>
      <c r="W181" s="223" t="e">
        <f t="shared" si="54"/>
        <v>#N/A</v>
      </c>
      <c r="X181" s="223"/>
      <c r="Y181" s="280"/>
    </row>
    <row r="182" spans="12:25" hidden="1">
      <c r="M182" s="287">
        <f t="shared" si="47"/>
        <v>-10.038340553802165</v>
      </c>
      <c r="N182" s="288">
        <f t="shared" si="42"/>
        <v>-10.038340553802165</v>
      </c>
      <c r="O182" s="289">
        <f t="shared" si="48"/>
        <v>-0.17520209410031876</v>
      </c>
      <c r="P182" s="219">
        <f t="shared" si="49"/>
        <v>315.55083184441276</v>
      </c>
      <c r="Q182" s="219">
        <f t="shared" si="50"/>
        <v>292.59232764686868</v>
      </c>
      <c r="R182" s="219" t="e">
        <f t="shared" si="45"/>
        <v>#N/A</v>
      </c>
      <c r="S182" s="220" t="e">
        <f t="shared" si="46"/>
        <v>#N/A</v>
      </c>
      <c r="T182" s="221">
        <f t="shared" si="51"/>
        <v>44.449168155587245</v>
      </c>
      <c r="U182" s="222">
        <f t="shared" si="52"/>
        <v>67.407672353131318</v>
      </c>
      <c r="V182" s="223" t="e">
        <f t="shared" si="53"/>
        <v>#N/A</v>
      </c>
      <c r="W182" s="223" t="e">
        <f t="shared" si="54"/>
        <v>#N/A</v>
      </c>
      <c r="X182" s="223"/>
      <c r="Y182" s="280"/>
    </row>
    <row r="183" spans="12:25" hidden="1">
      <c r="M183" s="287">
        <f t="shared" si="47"/>
        <v>-10.421632082669753</v>
      </c>
      <c r="N183" s="288">
        <f t="shared" si="42"/>
        <v>-10.421632082669753</v>
      </c>
      <c r="O183" s="289">
        <f t="shared" si="48"/>
        <v>-0.18189179327406105</v>
      </c>
      <c r="P183" s="219">
        <f t="shared" si="49"/>
        <v>314.36558929351816</v>
      </c>
      <c r="Q183" s="219">
        <f t="shared" si="50"/>
        <v>293.77757019776328</v>
      </c>
      <c r="R183" s="219" t="e">
        <f t="shared" si="45"/>
        <v>#N/A</v>
      </c>
      <c r="S183" s="220" t="e">
        <f t="shared" si="46"/>
        <v>#N/A</v>
      </c>
      <c r="T183" s="221">
        <f t="shared" si="51"/>
        <v>45.634410706481844</v>
      </c>
      <c r="U183" s="222">
        <f t="shared" si="52"/>
        <v>66.222429802236718</v>
      </c>
      <c r="V183" s="223" t="e">
        <f t="shared" si="53"/>
        <v>#N/A</v>
      </c>
      <c r="W183" s="223" t="e">
        <f t="shared" si="54"/>
        <v>#N/A</v>
      </c>
      <c r="X183" s="223"/>
      <c r="Y183" s="280"/>
    </row>
    <row r="184" spans="12:25" hidden="1">
      <c r="M184" s="287">
        <f t="shared" si="47"/>
        <v>-10.80492361153734</v>
      </c>
      <c r="N184" s="288">
        <f t="shared" si="42"/>
        <v>-10.80492361153734</v>
      </c>
      <c r="O184" s="289">
        <f t="shared" si="48"/>
        <v>-0.18858149244780337</v>
      </c>
      <c r="P184" s="219">
        <f t="shared" si="49"/>
        <v>313.00812735193978</v>
      </c>
      <c r="Q184" s="219">
        <f t="shared" si="50"/>
        <v>295.13503213934166</v>
      </c>
      <c r="R184" s="219" t="e">
        <f t="shared" si="45"/>
        <v>#N/A</v>
      </c>
      <c r="S184" s="220" t="e">
        <f t="shared" si="46"/>
        <v>#N/A</v>
      </c>
      <c r="T184" s="221">
        <f t="shared" si="51"/>
        <v>46.991872648060223</v>
      </c>
      <c r="U184" s="222">
        <f t="shared" si="52"/>
        <v>64.864967860658339</v>
      </c>
      <c r="V184" s="223" t="e">
        <f t="shared" si="53"/>
        <v>#N/A</v>
      </c>
      <c r="W184" s="223" t="e">
        <f t="shared" si="54"/>
        <v>#N/A</v>
      </c>
      <c r="X184" s="223"/>
      <c r="Y184" s="280"/>
    </row>
    <row r="185" spans="12:25" hidden="1">
      <c r="M185" s="287">
        <f t="shared" si="47"/>
        <v>-11.188215140404928</v>
      </c>
      <c r="N185" s="288">
        <f t="shared" si="42"/>
        <v>-11.188215140404928</v>
      </c>
      <c r="O185" s="289">
        <f t="shared" si="48"/>
        <v>-0.19527119162154566</v>
      </c>
      <c r="P185" s="219">
        <f t="shared" si="49"/>
        <v>311.38298232909921</v>
      </c>
      <c r="Q185" s="219">
        <f t="shared" si="50"/>
        <v>296.76017716218223</v>
      </c>
      <c r="R185" s="219" t="e">
        <f t="shared" si="45"/>
        <v>#N/A</v>
      </c>
      <c r="S185" s="220" t="e">
        <f t="shared" si="46"/>
        <v>#N/A</v>
      </c>
      <c r="T185" s="221">
        <f t="shared" si="51"/>
        <v>48.617017670900793</v>
      </c>
      <c r="U185" s="222">
        <f t="shared" si="52"/>
        <v>63.239822837817769</v>
      </c>
      <c r="V185" s="223" t="e">
        <f t="shared" si="53"/>
        <v>#N/A</v>
      </c>
      <c r="W185" s="223" t="e">
        <f t="shared" si="54"/>
        <v>#N/A</v>
      </c>
      <c r="X185" s="223"/>
      <c r="Y185" s="280"/>
    </row>
    <row r="186" spans="12:25" hidden="1">
      <c r="M186" s="287">
        <f t="shared" si="47"/>
        <v>-11.571506669272516</v>
      </c>
      <c r="N186" s="288">
        <f t="shared" si="42"/>
        <v>-11.571506669272516</v>
      </c>
      <c r="O186" s="289">
        <f t="shared" si="48"/>
        <v>-0.20196089079528795</v>
      </c>
      <c r="P186" s="219">
        <f t="shared" si="49"/>
        <v>309.24346254300849</v>
      </c>
      <c r="Q186" s="219">
        <f t="shared" si="50"/>
        <v>298.89969694827289</v>
      </c>
      <c r="R186" s="219" t="e">
        <f t="shared" si="45"/>
        <v>#N/A</v>
      </c>
      <c r="S186" s="220" t="e">
        <f t="shared" si="46"/>
        <v>#N/A</v>
      </c>
      <c r="T186" s="221">
        <f t="shared" si="51"/>
        <v>50.756537456991509</v>
      </c>
      <c r="U186" s="222">
        <f t="shared" si="52"/>
        <v>61.10030305172711</v>
      </c>
      <c r="V186" s="223" t="e">
        <f t="shared" si="53"/>
        <v>#N/A</v>
      </c>
      <c r="W186" s="223" t="e">
        <f t="shared" si="54"/>
        <v>#N/A</v>
      </c>
      <c r="X186" s="223"/>
      <c r="Y186" s="280"/>
    </row>
    <row r="187" spans="12:25" hidden="1">
      <c r="M187" s="287">
        <f t="shared" si="47"/>
        <v>-11.941054662610044</v>
      </c>
      <c r="N187" s="288">
        <f t="shared" si="42"/>
        <v>-11.954798198140104</v>
      </c>
      <c r="O187" s="289">
        <f t="shared" si="48"/>
        <v>-0.20841072002316591</v>
      </c>
      <c r="P187" s="219">
        <f t="shared" si="49"/>
        <v>304.91336680540093</v>
      </c>
      <c r="Q187" s="219">
        <f t="shared" si="50"/>
        <v>303.22979268588051</v>
      </c>
      <c r="R187" s="219" t="e">
        <f t="shared" si="45"/>
        <v>#N/A</v>
      </c>
      <c r="S187" s="220" t="e">
        <f t="shared" si="46"/>
        <v>#N/A</v>
      </c>
      <c r="T187" s="221">
        <f t="shared" si="51"/>
        <v>55.086633194599074</v>
      </c>
      <c r="U187" s="222">
        <f t="shared" si="52"/>
        <v>56.770207314119489</v>
      </c>
      <c r="V187" s="223" t="e">
        <f t="shared" si="53"/>
        <v>#N/A</v>
      </c>
      <c r="W187" s="223" t="e">
        <f t="shared" si="54"/>
        <v>#N/A</v>
      </c>
      <c r="X187" s="223"/>
      <c r="Y187" s="280"/>
    </row>
    <row r="188" spans="12:25" hidden="1">
      <c r="M188" s="287">
        <f t="shared" si="47"/>
        <v>-11.941054662610044</v>
      </c>
      <c r="N188" s="288">
        <f t="shared" si="42"/>
        <v>-12.338089727007691</v>
      </c>
      <c r="O188" s="289">
        <f t="shared" si="48"/>
        <v>-0.20841072002316591</v>
      </c>
      <c r="P188" s="219">
        <f t="shared" si="49"/>
        <v>304.91336680540093</v>
      </c>
      <c r="Q188" s="219">
        <f t="shared" si="50"/>
        <v>303.22979268588051</v>
      </c>
      <c r="R188" s="219" t="e">
        <f t="shared" si="45"/>
        <v>#N/A</v>
      </c>
      <c r="S188" s="220" t="e">
        <f t="shared" si="46"/>
        <v>#N/A</v>
      </c>
      <c r="T188" s="221">
        <f t="shared" si="51"/>
        <v>55.086633194599074</v>
      </c>
      <c r="U188" s="222">
        <f t="shared" si="52"/>
        <v>56.770207314119489</v>
      </c>
      <c r="V188" s="223" t="e">
        <f t="shared" si="53"/>
        <v>#N/A</v>
      </c>
      <c r="W188" s="223" t="e">
        <f t="shared" si="54"/>
        <v>#N/A</v>
      </c>
      <c r="X188" s="223"/>
      <c r="Y188" s="280"/>
    </row>
    <row r="189" spans="12:25" hidden="1">
      <c r="M189" s="287">
        <f t="shared" si="47"/>
        <v>-11.941054662610044</v>
      </c>
      <c r="N189" s="288">
        <f t="shared" si="42"/>
        <v>-12.721381255875279</v>
      </c>
      <c r="O189" s="289">
        <f t="shared" si="48"/>
        <v>-0.20841072002316591</v>
      </c>
      <c r="P189" s="219">
        <f t="shared" si="49"/>
        <v>304.91336680540093</v>
      </c>
      <c r="Q189" s="219">
        <f t="shared" si="50"/>
        <v>303.22979268588051</v>
      </c>
      <c r="R189" s="219" t="e">
        <f t="shared" si="45"/>
        <v>#N/A</v>
      </c>
      <c r="S189" s="220" t="e">
        <f t="shared" si="46"/>
        <v>#N/A</v>
      </c>
      <c r="T189" s="221">
        <f t="shared" si="51"/>
        <v>55.086633194599074</v>
      </c>
      <c r="U189" s="222">
        <f t="shared" si="52"/>
        <v>56.770207314119489</v>
      </c>
      <c r="V189" s="223" t="e">
        <f t="shared" si="53"/>
        <v>#N/A</v>
      </c>
      <c r="W189" s="223" t="e">
        <f t="shared" si="54"/>
        <v>#N/A</v>
      </c>
      <c r="X189" s="223"/>
      <c r="Y189" s="280"/>
    </row>
    <row r="190" spans="12:25">
      <c r="M190" s="287">
        <f t="shared" si="47"/>
        <v>-11.941054662610044</v>
      </c>
      <c r="N190" s="288">
        <f t="shared" si="42"/>
        <v>-13.104672784742867</v>
      </c>
      <c r="O190" s="289">
        <f t="shared" si="48"/>
        <v>-0.20841072002316591</v>
      </c>
      <c r="P190" s="219">
        <f t="shared" si="49"/>
        <v>304.91336680540093</v>
      </c>
      <c r="Q190" s="219">
        <f t="shared" si="50"/>
        <v>303.22979268588051</v>
      </c>
      <c r="R190" s="219" t="e">
        <f t="shared" si="45"/>
        <v>#N/A</v>
      </c>
      <c r="S190" s="220" t="e">
        <f t="shared" si="46"/>
        <v>#N/A</v>
      </c>
      <c r="T190" s="221">
        <f t="shared" si="51"/>
        <v>55.086633194599074</v>
      </c>
      <c r="U190" s="222">
        <f t="shared" si="52"/>
        <v>56.770207314119489</v>
      </c>
      <c r="V190" s="223" t="e">
        <f t="shared" si="53"/>
        <v>#N/A</v>
      </c>
      <c r="W190" s="223" t="e">
        <f t="shared" si="54"/>
        <v>#N/A</v>
      </c>
      <c r="X190" s="223"/>
      <c r="Y190" s="280"/>
    </row>
    <row r="191" spans="12:25" ht="17" thickBot="1">
      <c r="M191" s="287">
        <f t="shared" si="47"/>
        <v>-11.941054662610044</v>
      </c>
      <c r="N191" s="288">
        <f t="shared" si="42"/>
        <v>-13.487964313610455</v>
      </c>
      <c r="O191" s="289">
        <f t="shared" si="48"/>
        <v>-0.20841072002316591</v>
      </c>
      <c r="P191" s="219">
        <f t="shared" si="49"/>
        <v>304.91336680540093</v>
      </c>
      <c r="Q191" s="219">
        <f t="shared" si="50"/>
        <v>303.22979268588051</v>
      </c>
      <c r="R191" s="219" t="e">
        <f t="shared" si="45"/>
        <v>#N/A</v>
      </c>
      <c r="S191" s="220" t="e">
        <f t="shared" si="46"/>
        <v>#N/A</v>
      </c>
      <c r="T191" s="221">
        <f t="shared" si="51"/>
        <v>55.086633194599074</v>
      </c>
      <c r="U191" s="222">
        <f t="shared" si="52"/>
        <v>56.770207314119489</v>
      </c>
      <c r="V191" s="223" t="e">
        <f t="shared" si="53"/>
        <v>#N/A</v>
      </c>
      <c r="W191" s="223" t="e">
        <f t="shared" si="54"/>
        <v>#N/A</v>
      </c>
      <c r="X191" s="223"/>
      <c r="Y191" s="280"/>
    </row>
    <row r="192" spans="12:25">
      <c r="L192" s="261">
        <f>IFERROR(-90+DEGREES(h_)+DEGREES(d_)+0.01,0)</f>
        <v>6.438195187504073</v>
      </c>
      <c r="M192" s="287">
        <f t="shared" si="47"/>
        <v>-11.941054662610044</v>
      </c>
      <c r="N192" s="288">
        <f t="shared" si="42"/>
        <v>-13.871255842478043</v>
      </c>
      <c r="O192" s="289">
        <f t="shared" si="48"/>
        <v>-0.20841072002316591</v>
      </c>
      <c r="P192" s="219">
        <f t="shared" si="49"/>
        <v>304.91336680540093</v>
      </c>
      <c r="Q192" s="219">
        <f t="shared" si="50"/>
        <v>303.22979268588051</v>
      </c>
      <c r="R192" s="219" t="e">
        <f t="shared" si="45"/>
        <v>#N/A</v>
      </c>
      <c r="S192" s="220" t="e">
        <f t="shared" si="46"/>
        <v>#N/A</v>
      </c>
      <c r="T192" s="221">
        <f t="shared" si="51"/>
        <v>55.086633194599074</v>
      </c>
      <c r="U192" s="222">
        <f t="shared" si="52"/>
        <v>56.770207314119489</v>
      </c>
      <c r="V192" s="223" t="e">
        <f t="shared" si="53"/>
        <v>#N/A</v>
      </c>
      <c r="W192" s="223" t="e">
        <f t="shared" si="54"/>
        <v>#N/A</v>
      </c>
      <c r="X192" s="223"/>
      <c r="Y192" s="280"/>
    </row>
    <row r="193" spans="12:25" ht="17" thickBot="1">
      <c r="L193" s="262">
        <f>IFERROR(-90+DEGREES(h)+DEGREES(d)+0.01,0)</f>
        <v>-11.941054662610044</v>
      </c>
      <c r="M193" s="290">
        <f t="shared" si="47"/>
        <v>-11.941054662610044</v>
      </c>
      <c r="N193" s="291">
        <f t="shared" si="42"/>
        <v>-14.25454737134563</v>
      </c>
      <c r="O193" s="292">
        <f t="shared" si="48"/>
        <v>-0.20841072002316591</v>
      </c>
      <c r="P193" s="263">
        <f t="shared" si="49"/>
        <v>304.91336680540093</v>
      </c>
      <c r="Q193" s="263">
        <f t="shared" si="50"/>
        <v>303.22979268588051</v>
      </c>
      <c r="R193" s="263" t="e">
        <f t="shared" si="45"/>
        <v>#N/A</v>
      </c>
      <c r="S193" s="264" t="e">
        <f t="shared" si="46"/>
        <v>#N/A</v>
      </c>
      <c r="T193" s="265">
        <f t="shared" si="51"/>
        <v>55.086633194599074</v>
      </c>
      <c r="U193" s="266">
        <f t="shared" si="52"/>
        <v>56.770207314119489</v>
      </c>
      <c r="V193" s="267" t="e">
        <f t="shared" si="53"/>
        <v>#N/A</v>
      </c>
      <c r="W193" s="267" t="e">
        <f t="shared" si="54"/>
        <v>#N/A</v>
      </c>
      <c r="X193" s="281"/>
      <c r="Y193" s="282"/>
    </row>
    <row r="194" spans="12:25">
      <c r="M194" s="274">
        <f>lat</f>
        <v>35.794161516715647</v>
      </c>
      <c r="N194" s="275"/>
      <c r="O194" s="276"/>
      <c r="P194" s="275"/>
      <c r="Q194" s="275"/>
      <c r="R194" s="275"/>
      <c r="S194" s="275"/>
      <c r="T194" s="277"/>
      <c r="U194" s="277"/>
      <c r="V194" s="278"/>
      <c r="W194" s="278"/>
      <c r="X194" s="300">
        <f>IFERROR(lon,#N/A)</f>
        <v>19.572669225930113</v>
      </c>
      <c r="Y194" s="279"/>
    </row>
    <row r="195" spans="12:25">
      <c r="M195" s="293">
        <f>d°</f>
        <v>22.136615128476091</v>
      </c>
      <c r="N195" s="294"/>
      <c r="O195" s="294"/>
      <c r="P195" s="294"/>
      <c r="Q195" s="294"/>
      <c r="R195" s="294"/>
      <c r="S195" s="294"/>
      <c r="T195" s="294"/>
      <c r="U195" s="294"/>
      <c r="V195" s="294"/>
      <c r="W195" s="294"/>
      <c r="X195" s="294"/>
      <c r="Y195" s="295">
        <f>IF(Grt°&lt;180,-Grt°,360-Grt°)</f>
        <v>55.92842025435931</v>
      </c>
    </row>
    <row r="196" spans="12:25" ht="17" thickBot="1">
      <c r="M196" s="296">
        <f>d°_</f>
        <v>22.153147871075191</v>
      </c>
      <c r="N196" s="297"/>
      <c r="O196" s="297"/>
      <c r="P196" s="298"/>
      <c r="Q196" s="298"/>
      <c r="R196" s="298"/>
      <c r="S196" s="298"/>
      <c r="T196" s="298"/>
      <c r="U196" s="298"/>
      <c r="V196" s="298"/>
      <c r="W196" s="298"/>
      <c r="X196" s="298"/>
      <c r="Y196" s="299">
        <f>IF(Grt°_&lt;180,-Grt°_,360-Grt°_)</f>
        <v>10.587530040083209</v>
      </c>
    </row>
    <row r="197" spans="12:25">
      <c r="M197" s="268"/>
      <c r="N197" s="268"/>
      <c r="O197" s="268"/>
      <c r="P197" s="268"/>
      <c r="Q197" s="268"/>
      <c r="R197" s="268"/>
      <c r="S197" s="268"/>
      <c r="T197" s="268"/>
      <c r="U197" s="268"/>
      <c r="V197" s="268"/>
      <c r="W197" s="268"/>
      <c r="X197" s="268"/>
      <c r="Y197" s="268"/>
    </row>
  </sheetData>
  <sheetProtection algorithmName="SHA-512" hashValue="Q5xqFbzF2MFsok6ek6NkQ2xQc48tChCZutl+5upO/BEUXBGDhiYo0K+awls6YVg8YyifdluBf26W59q6ZZD5Rw==" saltValue="/a2O+dkugvntBKCinjFSJQ==" spinCount="100000" sheet="1" scenarios="1" selectLockedCells="1" selectUnlockedCells="1"/>
  <mergeCells count="1">
    <mergeCell ref="H2:J2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81</vt:i4>
      </vt:variant>
    </vt:vector>
  </HeadingPairs>
  <TitlesOfParts>
    <vt:vector size="84" baseType="lpstr">
      <vt:lpstr>Navigation</vt:lpstr>
      <vt:lpstr>Standortgrafik</vt:lpstr>
      <vt:lpstr>globale Grafik</vt:lpstr>
      <vt:lpstr>_A1</vt:lpstr>
      <vt:lpstr>_A2</vt:lpstr>
      <vt:lpstr>_A3</vt:lpstr>
      <vt:lpstr>_A4</vt:lpstr>
      <vt:lpstr>_B1</vt:lpstr>
      <vt:lpstr>_B2</vt:lpstr>
      <vt:lpstr>_B3</vt:lpstr>
      <vt:lpstr>_B4</vt:lpstr>
      <vt:lpstr>_dek1</vt:lpstr>
      <vt:lpstr>_l</vt:lpstr>
      <vt:lpstr>_ls</vt:lpstr>
      <vt:lpstr>_p1</vt:lpstr>
      <vt:lpstr>_p2</vt:lpstr>
      <vt:lpstr>_s1</vt:lpstr>
      <vt:lpstr>_s2</vt:lpstr>
      <vt:lpstr>_T1</vt:lpstr>
      <vt:lpstr>_T2</vt:lpstr>
      <vt:lpstr>add</vt:lpstr>
      <vt:lpstr>Az</vt:lpstr>
      <vt:lpstr>Az_°</vt:lpstr>
      <vt:lpstr>Az°</vt:lpstr>
      <vt:lpstr>B</vt:lpstr>
      <vt:lpstr>B_</vt:lpstr>
      <vt:lpstr>BB</vt:lpstr>
      <vt:lpstr>cmg</vt:lpstr>
      <vt:lpstr>d</vt:lpstr>
      <vt:lpstr>d_</vt:lpstr>
      <vt:lpstr>d°</vt:lpstr>
      <vt:lpstr>d°_</vt:lpstr>
      <vt:lpstr>dat</vt:lpstr>
      <vt:lpstr>dat_</vt:lpstr>
      <vt:lpstr>deka</vt:lpstr>
      <vt:lpstr>dmg</vt:lpstr>
      <vt:lpstr>F</vt:lpstr>
      <vt:lpstr>G</vt:lpstr>
      <vt:lpstr>grt</vt:lpstr>
      <vt:lpstr>grt_</vt:lpstr>
      <vt:lpstr>Grt°</vt:lpstr>
      <vt:lpstr>Grt°_</vt:lpstr>
      <vt:lpstr>grta</vt:lpstr>
      <vt:lpstr>Gs</vt:lpstr>
      <vt:lpstr>h</vt:lpstr>
      <vt:lpstr>h_</vt:lpstr>
      <vt:lpstr>h_°</vt:lpstr>
      <vt:lpstr>h°</vt:lpstr>
      <vt:lpstr>hma</vt:lpstr>
      <vt:lpstr>hs</vt:lpstr>
      <vt:lpstr>hs°</vt:lpstr>
      <vt:lpstr>j</vt:lpstr>
      <vt:lpstr>js</vt:lpstr>
      <vt:lpstr>K</vt:lpstr>
      <vt:lpstr>lat</vt:lpstr>
      <vt:lpstr>lat°</vt:lpstr>
      <vt:lpstr>LHA</vt:lpstr>
      <vt:lpstr>LHA_</vt:lpstr>
      <vt:lpstr>LHA°</vt:lpstr>
      <vt:lpstr>LHA°_</vt:lpstr>
      <vt:lpstr>LHAa</vt:lpstr>
      <vt:lpstr>lon</vt:lpstr>
      <vt:lpstr>ls</vt:lpstr>
      <vt:lpstr>maxn</vt:lpstr>
      <vt:lpstr>maxs</vt:lpstr>
      <vt:lpstr>minn</vt:lpstr>
      <vt:lpstr>mins</vt:lpstr>
      <vt:lpstr>ot</vt:lpstr>
      <vt:lpstr>ot_</vt:lpstr>
      <vt:lpstr>P</vt:lpstr>
      <vt:lpstr>q</vt:lpstr>
      <vt:lpstr>ref</vt:lpstr>
      <vt:lpstr>step</vt:lpstr>
      <vt:lpstr>t</vt:lpstr>
      <vt:lpstr>tau</vt:lpstr>
      <vt:lpstr>taus</vt:lpstr>
      <vt:lpstr>TG</vt:lpstr>
      <vt:lpstr>V</vt:lpstr>
      <vt:lpstr>var</vt:lpstr>
      <vt:lpstr>vb</vt:lpstr>
      <vt:lpstr>vl</vt:lpstr>
      <vt:lpstr>W</vt:lpstr>
      <vt:lpstr>Ws</vt:lpstr>
      <vt:lpstr>z_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Office-Anwender</dc:creator>
  <cp:lastModifiedBy>Helmut Hoffrichter</cp:lastModifiedBy>
  <dcterms:created xsi:type="dcterms:W3CDTF">2018-01-04T14:37:05Z</dcterms:created>
  <dcterms:modified xsi:type="dcterms:W3CDTF">2025-06-28T11:53:17Z</dcterms:modified>
</cp:coreProperties>
</file>